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6 Junio\"/>
    </mc:Choice>
  </mc:AlternateContent>
  <xr:revisionPtr revIDLastSave="0" documentId="13_ncr:1_{EB9E421B-3112-4ADD-BA27-B447F57F8A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G12" i="1" l="1"/>
  <c r="G14" i="1"/>
  <c r="I57" i="1"/>
  <c r="F57" i="1"/>
  <c r="H57" i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D17" i="1" s="1"/>
  <c r="G25" i="1"/>
  <c r="G29" i="1"/>
  <c r="F32" i="1"/>
  <c r="E30" i="2" s="1"/>
  <c r="G13" i="1" l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<sst xmlns="http://schemas.openxmlformats.org/spreadsheetml/2006/main" count="308" uniqueCount="132">
  <si>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</si>
  <si>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</si>
  <si>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</si>
  <si>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</si>
  <si>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</si>
  <si>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</si>
  <si>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</si>
  <si>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</si>
  <si>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</si>
  <si>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</si>
  <si>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</si>
  <si>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</si>
  <si>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</si>
  <si>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</si>
  <si>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</si>
  <si>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</si>
  <si>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</si>
  <si>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</si>
  <si>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</si>
  <si>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</si>
  <si>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</si>
  <si>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</si>
  <si>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</si>
  <si>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</si>
  <si>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</si>
  <si>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</si>
  <si>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</si>
  <si>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</si>
  <si>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</si>
  <si>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</si>
  <si>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</si>
  <si>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</si>
  <si>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</si>
  <si>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</si>
  <si>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</si>
  <si>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</si>
  <si>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</si>
  <si>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</si>
  <si>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</si>
  <si>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</si>
  <si>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</si>
  <si>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</si>
  <si>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</si>
  <si>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</si>
  <si>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</si>
  <si>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</si>
  <si>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</si>
  <si>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</si>
  <si>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</si>
  <si>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</si>
  <si>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</si>
  <si>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</si>
  <si>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</si>
  <si>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</si>
  <si>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</si>
  <si>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</si>
  <si>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</si>
  <si>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</si>
  <si>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</si>
  <si>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</si>
  <si>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</si>
  <si>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</si>
  <si>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</si>
  <si>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</si>
  <si>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</si>
  <si>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</si>
  <si>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</si>
  <si>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</si>
  <si>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</si>
  <si>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</si>
  <si>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</si>
  <si>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</si>
  <si>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</si>
  <si>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</si>
  <si>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</si>
  <si>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</si>
  <si>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</si>
  <si>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</si>
  <si>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</si>
  <si>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</si>
  <si>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</si>
  <si>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</si>
  <si>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</si>
  <si>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</si>
  <si>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</si>
  <si>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</si>
  <si>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</si>
  <si>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</si>
  <si>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</si>
  <si>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</si>
  <si>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</si>
  <si>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</si>
  <si>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</si>
  <si>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</si>
  <si>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</si>
  <si>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</si>
  <si>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</si>
  <si>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</si>
  <si>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</si>
  <si>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</si>
  <si>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</si>
  <si>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</si>
  <si>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</si>
  <si>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</si>
  <si>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</si>
  <si>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</si>
  <si>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</si>
  <si>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</si>
  <si>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</si>
  <si>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</si>
  <si>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</si>
  <si>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</si>
  <si>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</si>
  <si>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</si>
  <si>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</si>
  <si>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</si>
  <si>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</si>
  <si>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</si>
  <si>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</si>
  <si>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</si>
  <si>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</si>
  <si>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</si>
  <si>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</si>
  <si>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</si>
  <si>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</si>
  <si>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MAYO 2021</t>
  </si>
  <si>
    <t>Mayo</t>
  </si>
  <si>
    <t>Enero - Mayo</t>
  </si>
  <si>
    <t>Grafico N° 11: Generación de energía eléctrica por Región, al mes de mayo 2021</t>
  </si>
  <si>
    <t>Cuadro N° 8: Producción de energía eléctrica nacional por zona del país, al mes de mayo</t>
  </si>
  <si>
    <t>3.2 Producción de energía eléctrica (GWh) por origen y zona al mes de mayo 2021</t>
  </si>
  <si>
    <t>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</si>
</sst>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3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0" fillId="68" borderId="63" xfId="0" applyNumberFormat="1" applyFont="1" applyFill="1" applyBorder="1" applyAlignment="1">
      <alignment vertical="center"/>
    </xf>
    <xf numFmtId="167" fontId="0" fillId="68" borderId="84" xfId="0" applyNumberFormat="1" applyFont="1" applyFill="1" applyBorder="1" applyAlignment="1">
      <alignment vertical="center"/>
    </xf>
    <xf numFmtId="167" fontId="99" fillId="0" borderId="86" xfId="0" applyNumberFormat="1" applyFont="1" applyBorder="1"/>
    <xf numFmtId="167" fontId="99" fillId="0" borderId="60" xfId="0" applyNumberFormat="1" applyFont="1" applyBorder="1"/>
    <xf numFmtId="167" fontId="99" fillId="0" borderId="28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167" fontId="0" fillId="68" borderId="30" xfId="0" applyNumberFormat="1" applyFill="1" applyBorder="1"/>
    <xf numFmtId="4" fontId="99" fillId="0" borderId="78" xfId="0" applyNumberFormat="1" applyFont="1" applyBorder="1"/>
    <xf numFmtId="4" fontId="99" fillId="0" borderId="108" xfId="0" applyNumberFormat="1" applyFont="1" applyBorder="1"/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Mayo 2021</a:t>
            </a:r>
          </a:p>
          <a:p>
            <a:pPr>
              <a:defRPr sz="800" b="1"/>
            </a:pPr>
            <a:r>
              <a:rPr lang="es-PE" sz="800" b="1"/>
              <a:t>Total : 4 812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57.197441230970796</c:v>
                </c:pt>
                <c:pt idx="1">
                  <c:v>87.60620745503121</c:v>
                </c:pt>
                <c:pt idx="2">
                  <c:v>2655.2879919770412</c:v>
                </c:pt>
                <c:pt idx="3">
                  <c:v>1795.5646529974986</c:v>
                </c:pt>
                <c:pt idx="4">
                  <c:v>216.75760019749993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2223.8129076905648</c:v>
                </c:pt>
                <c:pt idx="2" formatCode="_ * #,##0.00_ ;_ * \-#,##0.00_ ;_ * &quot;-&quot;??_ ;_ @_ ">
                  <c:v>6.4619999999999999E-3</c:v>
                </c:pt>
                <c:pt idx="3">
                  <c:v>1600.1240508155242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68.170209769999985</c:v>
                </c:pt>
                <c:pt idx="1">
                  <c:v>352.92877575487125</c:v>
                </c:pt>
                <c:pt idx="2">
                  <c:v>57.130521050000013</c:v>
                </c:pt>
                <c:pt idx="3">
                  <c:v>93.742928150232956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32.609444750000002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3823.9434205060888</c:v>
                </c:pt>
                <c:pt idx="1">
                  <c:v>571.97243472510422</c:v>
                </c:pt>
                <c:pt idx="2">
                  <c:v>383.88859387684835</c:v>
                </c:pt>
                <c:pt idx="3">
                  <c:v>32.609444750000002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CUSCO</c:v>
                </c:pt>
                <c:pt idx="6">
                  <c:v>HUANUCO</c:v>
                </c:pt>
                <c:pt idx="7">
                  <c:v>PIURA</c:v>
                </c:pt>
                <c:pt idx="8">
                  <c:v>CAJAMARCA</c:v>
                </c:pt>
                <c:pt idx="9">
                  <c:v>ICA</c:v>
                </c:pt>
                <c:pt idx="10">
                  <c:v>PUNO</c:v>
                </c:pt>
                <c:pt idx="11">
                  <c:v>LA LIBERTAD</c:v>
                </c:pt>
                <c:pt idx="12">
                  <c:v>AREQUIPA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SAN MARTÍN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1899.4094425250005</c:v>
                </c:pt>
                <c:pt idx="1">
                  <c:v>883.61941428859427</c:v>
                </c:pt>
                <c:pt idx="2">
                  <c:v>305.37922340937502</c:v>
                </c:pt>
                <c:pt idx="3">
                  <c:v>275.60885148</c:v>
                </c:pt>
                <c:pt idx="4">
                  <c:v>199.67799341040808</c:v>
                </c:pt>
                <c:pt idx="5">
                  <c:v>198.22593345166672</c:v>
                </c:pt>
                <c:pt idx="6">
                  <c:v>173.39027622047823</c:v>
                </c:pt>
                <c:pt idx="7">
                  <c:v>138.70629648990405</c:v>
                </c:pt>
                <c:pt idx="8">
                  <c:v>135.37056703583792</c:v>
                </c:pt>
                <c:pt idx="9">
                  <c:v>104.30578270666668</c:v>
                </c:pt>
                <c:pt idx="10">
                  <c:v>100.85035431249999</c:v>
                </c:pt>
                <c:pt idx="11">
                  <c:v>95.711502160515622</c:v>
                </c:pt>
                <c:pt idx="12">
                  <c:v>91.314830760937511</c:v>
                </c:pt>
                <c:pt idx="13">
                  <c:v>68.144432774999999</c:v>
                </c:pt>
                <c:pt idx="14">
                  <c:v>58.900826510833348</c:v>
                </c:pt>
                <c:pt idx="15">
                  <c:v>32.609444750000002</c:v>
                </c:pt>
                <c:pt idx="16">
                  <c:v>18.713786397232631</c:v>
                </c:pt>
                <c:pt idx="17">
                  <c:v>12.714422762499995</c:v>
                </c:pt>
                <c:pt idx="18">
                  <c:v>5.0380536991666682</c:v>
                </c:pt>
                <c:pt idx="19">
                  <c:v>4.5887572500000005</c:v>
                </c:pt>
                <c:pt idx="20">
                  <c:v>4.5482690000000003</c:v>
                </c:pt>
                <c:pt idx="21">
                  <c:v>3.372869241424</c:v>
                </c:pt>
                <c:pt idx="22">
                  <c:v>1.1005480000000003</c:v>
                </c:pt>
                <c:pt idx="23">
                  <c:v>1.0064472500000001</c:v>
                </c:pt>
                <c:pt idx="24">
                  <c:v>0.10556797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2838.4264427423582</c:v>
                </c:pt>
                <c:pt idx="1">
                  <c:v>597.12699774869043</c:v>
                </c:pt>
                <c:pt idx="2">
                  <c:v>131.245453</c:v>
                </c:pt>
                <c:pt idx="3">
                  <c:v>58.928820000000009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2712.4854332080122</c:v>
                </c:pt>
                <c:pt idx="1">
                  <c:v>1883.1708604525297</c:v>
                </c:pt>
                <c:pt idx="2">
                  <c:v>159.62707914749993</c:v>
                </c:pt>
                <c:pt idx="3">
                  <c:v>57.130521050000013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159.47686878326536</c:v>
                </c:pt>
                <c:pt idx="1">
                  <c:v>147.03328722720298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3466.2508447077844</c:v>
                </c:pt>
                <c:pt idx="1">
                  <c:v>4665.3806066308389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2633.0852976348583</c:v>
                </c:pt>
                <c:pt idx="1">
                  <c:v>2503.3976082930121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558.08319674869028</c:v>
                </c:pt>
                <c:pt idx="1">
                  <c:v>1839.028264984149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205.34114510749987</c:v>
                </c:pt>
                <c:pt idx="1">
                  <c:v>209.08782491500023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229.218074</c:v>
                </c:pt>
                <c:pt idx="1">
                  <c:v>260.90019566588046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2712.4854332080122</c:v>
                </c:pt>
                <c:pt idx="1">
                  <c:v>1708.8214676153477</c:v>
                </c:pt>
                <c:pt idx="2">
                  <c:v>130.02036062215757</c:v>
                </c:pt>
                <c:pt idx="3">
                  <c:v>44.142595468380534</c:v>
                </c:pt>
                <c:pt idx="4">
                  <c:v>159.62707914749993</c:v>
                </c:pt>
                <c:pt idx="5">
                  <c:v>57.130521050000013</c:v>
                </c:pt>
                <c:pt idx="6" formatCode="#,##0.0">
                  <c:v>0.18643674664354359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3396.5096394910497</c:v>
                </c:pt>
                <c:pt idx="1">
                  <c:v>4551.5136981921605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229.218074</c:v>
                </c:pt>
                <c:pt idx="1">
                  <c:v>260.90019566588046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91769503910587E-2"/>
                  <c:y val="2.0933497003777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6.321988083856861E-2</c:v>
                </c:pt>
                <c:pt idx="1">
                  <c:v>5.4213997677726895E-2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2838.4264427423582</c:v>
                </c:pt>
                <c:pt idx="1">
                  <c:v>493.31278100000003</c:v>
                </c:pt>
                <c:pt idx="2">
                  <c:v>64.555415748691303</c:v>
                </c:pt>
                <c:pt idx="3" formatCode="#,##0.00">
                  <c:v>0.215</c:v>
                </c:pt>
                <c:pt idx="4">
                  <c:v>39.043801000000002</c:v>
                </c:pt>
                <c:pt idx="5">
                  <c:v>131.245453</c:v>
                </c:pt>
                <c:pt idx="6">
                  <c:v>58.928820000000009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2712.4854332080122</c:v>
                </c:pt>
                <c:pt idx="1">
                  <c:v>1708.8214676153477</c:v>
                </c:pt>
                <c:pt idx="2">
                  <c:v>130.02036062215757</c:v>
                </c:pt>
                <c:pt idx="3" formatCode="#,##0.00">
                  <c:v>0.18643674664354359</c:v>
                </c:pt>
                <c:pt idx="4">
                  <c:v>44.142595468380534</c:v>
                </c:pt>
                <c:pt idx="5">
                  <c:v>159.62707914749993</c:v>
                </c:pt>
                <c:pt idx="6">
                  <c:v>57.130521050000013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91.456869377499942</c:v>
                </c:pt>
                <c:pt idx="1">
                  <c:v>135.74374976257607</c:v>
                </c:pt>
                <c:pt idx="2">
                  <c:v>0</c:v>
                </c:pt>
                <c:pt idx="3">
                  <c:v>156.68797473677233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mayo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Normal="120" zoomScaleSheetLayoutView="100" workbookViewId="0">
      <selection activeCell="C5" sqref="C5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1"/>
      <c r="D8" s="131"/>
      <c r="E8" s="131"/>
      <c r="F8" s="131"/>
      <c r="G8" s="131"/>
      <c r="H8" s="9"/>
      <c r="I8" s="9"/>
      <c r="J8" s="9"/>
      <c r="K8" s="9"/>
    </row>
    <row r="9" spans="2:19" s="1" customFormat="1" ht="26.4">
      <c r="B9" s="8"/>
      <c r="C9" s="181" t="s">
        <v>62</v>
      </c>
      <c r="D9" s="182" t="s">
        <v>69</v>
      </c>
      <c r="E9" s="183" t="s">
        <v>70</v>
      </c>
      <c r="F9" s="184" t="s">
        <v>71</v>
      </c>
      <c r="G9" s="185" t="s">
        <v>72</v>
      </c>
      <c r="H9" s="9"/>
      <c r="I9" s="9"/>
      <c r="J9" s="9"/>
      <c r="K9" s="9"/>
    </row>
    <row r="10" spans="2:19" s="1" customFormat="1" ht="13.8" thickBot="1">
      <c r="B10" s="8"/>
      <c r="C10" s="186" t="s">
        <v>63</v>
      </c>
      <c r="D10" s="187"/>
      <c r="E10" s="188"/>
      <c r="F10" s="189"/>
      <c r="G10" s="190"/>
      <c r="H10" s="9"/>
      <c r="I10" s="9"/>
      <c r="J10" s="9"/>
      <c r="K10" s="9"/>
    </row>
    <row r="11" spans="2:19" s="1" customFormat="1" ht="13.8" thickTop="1">
      <c r="B11" s="8"/>
      <c r="C11" s="132"/>
      <c r="D11" s="133"/>
      <c r="E11" s="134"/>
      <c r="F11" s="135"/>
      <c r="G11" s="136"/>
      <c r="H11" s="9"/>
      <c r="I11" s="9"/>
      <c r="J11" s="9"/>
      <c r="K11" s="9"/>
      <c r="Q11" s="376" t="s">
        <v>64</v>
      </c>
      <c r="R11" s="146" t="s">
        <v>41</v>
      </c>
      <c r="S11" s="147">
        <f>E12</f>
        <v>57.197441230970796</v>
      </c>
    </row>
    <row r="12" spans="2:19" s="1" customFormat="1">
      <c r="B12" s="8"/>
      <c r="C12" s="137" t="s">
        <v>66</v>
      </c>
      <c r="D12" s="138">
        <v>2655.2879919770412</v>
      </c>
      <c r="E12" s="139">
        <v>57.197441230970796</v>
      </c>
      <c r="F12" s="140">
        <f>SUM(D12:E12)</f>
        <v>2712.4854332080122</v>
      </c>
      <c r="G12" s="339">
        <f>(F12/F$16)+0.005</f>
        <v>0.56864342158306169</v>
      </c>
      <c r="H12" s="9"/>
      <c r="I12" s="9"/>
      <c r="J12" s="9"/>
      <c r="K12" s="9"/>
      <c r="Q12" s="376"/>
      <c r="R12" s="146" t="s">
        <v>73</v>
      </c>
      <c r="S12" s="147">
        <f>E13</f>
        <v>87.60620745503121</v>
      </c>
    </row>
    <row r="13" spans="2:19" s="1" customFormat="1">
      <c r="B13" s="8"/>
      <c r="C13" s="137" t="s">
        <v>65</v>
      </c>
      <c r="D13" s="138">
        <v>1795.5646529974986</v>
      </c>
      <c r="E13" s="139">
        <v>87.60620745503121</v>
      </c>
      <c r="F13" s="140">
        <f>SUM(D13:E13)</f>
        <v>1883.1708604525297</v>
      </c>
      <c r="G13" s="339">
        <f>(F13/F$16)</f>
        <v>0.39131523222804487</v>
      </c>
      <c r="H13" s="9"/>
      <c r="I13" s="9"/>
      <c r="J13" s="9"/>
      <c r="K13" s="9"/>
      <c r="Q13" s="376" t="s">
        <v>88</v>
      </c>
      <c r="R13" s="146" t="s">
        <v>41</v>
      </c>
      <c r="S13" s="147">
        <f>D12</f>
        <v>2655.2879919770412</v>
      </c>
    </row>
    <row r="14" spans="2:19" s="1" customFormat="1">
      <c r="B14" s="8"/>
      <c r="C14" s="137" t="s">
        <v>67</v>
      </c>
      <c r="D14" s="138">
        <v>159.62707914749993</v>
      </c>
      <c r="E14" s="141"/>
      <c r="F14" s="140">
        <f>SUM(D14:E14)</f>
        <v>159.62707914749993</v>
      </c>
      <c r="G14" s="339">
        <f>(F14/F$16)</f>
        <v>3.3169856680703998E-2</v>
      </c>
      <c r="H14" s="9"/>
      <c r="I14" s="9"/>
      <c r="J14" s="9"/>
      <c r="K14" s="9"/>
      <c r="Q14" s="376"/>
      <c r="R14" s="146" t="s">
        <v>73</v>
      </c>
      <c r="S14" s="147">
        <f>D13</f>
        <v>1795.5646529974986</v>
      </c>
    </row>
    <row r="15" spans="2:19" s="1" customFormat="1" ht="13.8" thickBot="1">
      <c r="B15" s="8"/>
      <c r="C15" s="142" t="s">
        <v>5</v>
      </c>
      <c r="D15" s="143">
        <v>57.130521050000013</v>
      </c>
      <c r="E15" s="144"/>
      <c r="F15" s="145">
        <f>SUM(D15:E15)</f>
        <v>57.130521050000013</v>
      </c>
      <c r="G15" s="340">
        <f>(F15/F$16)</f>
        <v>1.1871489508189267E-2</v>
      </c>
      <c r="H15" s="9"/>
      <c r="I15" s="9"/>
      <c r="J15" s="9"/>
      <c r="K15" s="9"/>
      <c r="Q15" s="376"/>
      <c r="R15" s="146" t="s">
        <v>87</v>
      </c>
      <c r="S15" s="147">
        <f>SUM(D14:D15)</f>
        <v>216.75760019749993</v>
      </c>
    </row>
    <row r="16" spans="2:19" s="1" customFormat="1" ht="13.8" thickTop="1">
      <c r="B16" s="8"/>
      <c r="C16" s="247" t="s">
        <v>71</v>
      </c>
      <c r="D16" s="248">
        <f>SUM(D12:D15)</f>
        <v>4667.6102451720399</v>
      </c>
      <c r="E16" s="249">
        <f>SUM(E12:E15)</f>
        <v>144.80364868600202</v>
      </c>
      <c r="F16" s="250">
        <f>SUM(F12:F15)</f>
        <v>4812.4138938580427</v>
      </c>
      <c r="G16" s="251"/>
      <c r="H16" s="9"/>
      <c r="I16" s="9"/>
      <c r="J16" s="9"/>
      <c r="K16" s="9"/>
    </row>
    <row r="17" spans="2:19" s="1" customFormat="1">
      <c r="B17" s="8"/>
      <c r="C17" s="252" t="s">
        <v>109</v>
      </c>
      <c r="D17" s="319">
        <f>D16/F16</f>
        <v>0.96991039177432103</v>
      </c>
      <c r="E17" s="320">
        <f>E16/F16</f>
        <v>3.0089608225678823E-2</v>
      </c>
      <c r="F17" s="253"/>
      <c r="G17" s="254"/>
      <c r="H17" s="9"/>
      <c r="I17" s="9"/>
      <c r="J17" s="9"/>
      <c r="K17" s="9"/>
    </row>
    <row r="18" spans="2:19" s="1" customFormat="1">
      <c r="B18" s="8"/>
      <c r="C18" s="132"/>
      <c r="D18" s="132"/>
      <c r="E18" s="132"/>
      <c r="F18" s="132"/>
      <c r="G18" s="13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2"/>
      <c r="D22" s="132"/>
      <c r="E22" s="132"/>
      <c r="F22" s="132"/>
      <c r="G22" s="132"/>
      <c r="H22" s="131"/>
      <c r="I22" s="131"/>
      <c r="J22" s="131"/>
      <c r="K22" s="9"/>
    </row>
    <row r="23" spans="2:19" s="1" customFormat="1" ht="12.75" customHeight="1">
      <c r="B23" s="8"/>
      <c r="C23" s="372" t="s">
        <v>112</v>
      </c>
      <c r="D23" s="373"/>
      <c r="E23" s="377" t="s">
        <v>126</v>
      </c>
      <c r="F23" s="378"/>
      <c r="G23" s="151" t="s">
        <v>74</v>
      </c>
      <c r="H23" s="379" t="s">
        <v>127</v>
      </c>
      <c r="I23" s="380"/>
      <c r="J23" s="151" t="s">
        <v>74</v>
      </c>
      <c r="K23" s="9"/>
      <c r="Q23" s="146"/>
      <c r="R23" s="146">
        <v>2020</v>
      </c>
      <c r="S23" s="146">
        <v>2021</v>
      </c>
    </row>
    <row r="24" spans="2:19" s="1" customFormat="1" ht="12.75" customHeight="1">
      <c r="B24" s="8"/>
      <c r="C24" s="152"/>
      <c r="D24" s="153"/>
      <c r="E24" s="154">
        <v>2020</v>
      </c>
      <c r="F24" s="155">
        <v>2021</v>
      </c>
      <c r="G24" s="156"/>
      <c r="H24" s="236">
        <v>2020</v>
      </c>
      <c r="I24" s="155">
        <v>2021</v>
      </c>
      <c r="J24" s="156"/>
      <c r="K24" s="9"/>
      <c r="Q24" s="146" t="s">
        <v>76</v>
      </c>
      <c r="R24" s="147">
        <f>E29</f>
        <v>159.47686878326536</v>
      </c>
      <c r="S24" s="147">
        <f>F29</f>
        <v>147.03328722720298</v>
      </c>
    </row>
    <row r="25" spans="2:19" s="1" customFormat="1">
      <c r="B25" s="8"/>
      <c r="C25" s="368" t="s">
        <v>0</v>
      </c>
      <c r="D25" s="369"/>
      <c r="E25" s="191">
        <f>SUM(E26:E28)</f>
        <v>3466.2508447077844</v>
      </c>
      <c r="F25" s="192">
        <f>SUM(F26:F28)</f>
        <v>4665.3806066308389</v>
      </c>
      <c r="G25" s="193">
        <f>((F25/E25)-1)</f>
        <v>0.34594431148970828</v>
      </c>
      <c r="H25" s="237">
        <f>SUM(H26:H28)</f>
        <v>20028.819965495346</v>
      </c>
      <c r="I25" s="192">
        <f>SUM(I26:I28)</f>
        <v>22868.361495105793</v>
      </c>
      <c r="J25" s="193">
        <f>((I25/H25)-1)</f>
        <v>0.14177278214604105</v>
      </c>
      <c r="K25" s="9"/>
      <c r="Q25" s="146" t="s">
        <v>0</v>
      </c>
      <c r="R25" s="147">
        <f>E25</f>
        <v>3466.2508447077844</v>
      </c>
      <c r="S25" s="147">
        <f>F25</f>
        <v>4665.3806066308389</v>
      </c>
    </row>
    <row r="26" spans="2:19" s="1" customFormat="1">
      <c r="B26" s="8"/>
      <c r="C26" s="267" t="s">
        <v>62</v>
      </c>
      <c r="D26" s="276" t="s">
        <v>102</v>
      </c>
      <c r="E26" s="158">
        <v>3344.9770308224997</v>
      </c>
      <c r="F26" s="159">
        <v>4528.8096993324989</v>
      </c>
      <c r="G26" s="160">
        <f t="shared" ref="G26:G32" si="0">((F26/E26)-1)</f>
        <v>0.35391354188728319</v>
      </c>
      <c r="H26" s="238">
        <v>19389.423515339997</v>
      </c>
      <c r="I26" s="159">
        <v>22186.732238934997</v>
      </c>
      <c r="J26" s="160">
        <f t="shared" ref="J26:J32" si="1">((I26/H26)-1)</f>
        <v>0.14426982428755042</v>
      </c>
      <c r="K26" s="9"/>
    </row>
    <row r="27" spans="2:19" s="1" customFormat="1">
      <c r="B27" s="8"/>
      <c r="C27" s="268" t="s">
        <v>106</v>
      </c>
      <c r="D27" s="277" t="s">
        <v>77</v>
      </c>
      <c r="E27" s="270">
        <v>94.610141269760021</v>
      </c>
      <c r="F27" s="271">
        <v>97.43267016026283</v>
      </c>
      <c r="G27" s="280">
        <f t="shared" si="0"/>
        <v>2.9833259443667659E-2</v>
      </c>
      <c r="H27" s="272">
        <v>451.73613366176005</v>
      </c>
      <c r="I27" s="271">
        <v>460.48736677271722</v>
      </c>
      <c r="J27" s="280">
        <f t="shared" si="1"/>
        <v>1.9372444351573037E-2</v>
      </c>
      <c r="K27" s="9"/>
    </row>
    <row r="28" spans="2:19" s="1" customFormat="1">
      <c r="B28" s="8"/>
      <c r="C28" s="269" t="s">
        <v>64</v>
      </c>
      <c r="D28" s="278" t="s">
        <v>77</v>
      </c>
      <c r="E28" s="158">
        <v>26.663672615524835</v>
      </c>
      <c r="F28" s="159">
        <v>39.13823713807686</v>
      </c>
      <c r="G28" s="279">
        <f t="shared" si="0"/>
        <v>0.46784869820554098</v>
      </c>
      <c r="H28" s="238">
        <v>187.66031649358837</v>
      </c>
      <c r="I28" s="159">
        <v>221.14188939807687</v>
      </c>
      <c r="J28" s="279">
        <f t="shared" si="1"/>
        <v>0.17841583948107886</v>
      </c>
      <c r="K28" s="9"/>
    </row>
    <row r="29" spans="2:19" s="1" customFormat="1">
      <c r="B29" s="8"/>
      <c r="C29" s="368" t="s">
        <v>76</v>
      </c>
      <c r="D29" s="369"/>
      <c r="E29" s="191">
        <f>SUM(E30:E31)</f>
        <v>159.47686878326536</v>
      </c>
      <c r="F29" s="192">
        <f>SUM(F30:F31)</f>
        <v>147.03328722720298</v>
      </c>
      <c r="G29" s="193">
        <f t="shared" si="0"/>
        <v>-7.8027501110356279E-2</v>
      </c>
      <c r="H29" s="237">
        <f>SUM(H30:H31)</f>
        <v>938.44691485407293</v>
      </c>
      <c r="I29" s="192">
        <f>SUM(I30:I31)</f>
        <v>789.61992042749068</v>
      </c>
      <c r="J29" s="193">
        <f t="shared" si="1"/>
        <v>-0.15858861281431635</v>
      </c>
      <c r="K29" s="9"/>
      <c r="Q29" s="146"/>
      <c r="R29" s="146"/>
      <c r="S29" s="146"/>
    </row>
    <row r="30" spans="2:19" s="1" customFormat="1">
      <c r="B30" s="8"/>
      <c r="C30" s="273" t="s">
        <v>68</v>
      </c>
      <c r="D30" s="153"/>
      <c r="E30" s="158">
        <v>32.706663337897957</v>
      </c>
      <c r="F30" s="159">
        <v>41.36787567927783</v>
      </c>
      <c r="G30" s="279">
        <f t="shared" si="0"/>
        <v>0.26481491712864291</v>
      </c>
      <c r="H30" s="238">
        <v>182.91850388637926</v>
      </c>
      <c r="I30" s="159">
        <v>195.30971081538587</v>
      </c>
      <c r="J30" s="337">
        <f t="shared" si="1"/>
        <v>6.7741680943899985E-2</v>
      </c>
      <c r="K30" s="9"/>
    </row>
    <row r="31" spans="2:19" s="1" customFormat="1" ht="13.8" thickBot="1">
      <c r="B31" s="8"/>
      <c r="C31" s="274" t="s">
        <v>64</v>
      </c>
      <c r="D31" s="275"/>
      <c r="E31" s="162">
        <v>126.77020544536741</v>
      </c>
      <c r="F31" s="163">
        <v>105.66541154792515</v>
      </c>
      <c r="G31" s="164">
        <f t="shared" si="0"/>
        <v>-0.16648071069457671</v>
      </c>
      <c r="H31" s="239">
        <v>755.52841096769373</v>
      </c>
      <c r="I31" s="163">
        <v>594.31020961210481</v>
      </c>
      <c r="J31" s="303">
        <f t="shared" si="1"/>
        <v>-0.21338469740548593</v>
      </c>
      <c r="K31" s="9"/>
    </row>
    <row r="32" spans="2:19" s="1" customFormat="1" ht="14.4" thickTop="1" thickBot="1">
      <c r="B32" s="8"/>
      <c r="C32" s="370" t="s">
        <v>108</v>
      </c>
      <c r="D32" s="371"/>
      <c r="E32" s="194">
        <f>SUM(E25,E29)</f>
        <v>3625.7277134910496</v>
      </c>
      <c r="F32" s="195">
        <f>SUM(F25,F29)</f>
        <v>4812.4138938580418</v>
      </c>
      <c r="G32" s="196">
        <f t="shared" si="0"/>
        <v>0.32729600073150156</v>
      </c>
      <c r="H32" s="240">
        <f>SUM(H25,H29)</f>
        <v>20967.26688034942</v>
      </c>
      <c r="I32" s="195">
        <f>SUM(I25,I29)</f>
        <v>23657.981415533282</v>
      </c>
      <c r="J32" s="196">
        <f t="shared" si="1"/>
        <v>0.12832929301365481</v>
      </c>
      <c r="K32" s="9"/>
    </row>
    <row r="33" spans="2:19" s="1" customFormat="1">
      <c r="B33" s="8"/>
      <c r="C33" s="314" t="s">
        <v>103</v>
      </c>
      <c r="D33" s="165"/>
      <c r="E33" s="165"/>
      <c r="F33" s="166"/>
      <c r="G33" s="131"/>
      <c r="H33" s="165"/>
      <c r="I33" s="165"/>
      <c r="J33" s="131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9"/>
      <c r="D38" s="150"/>
      <c r="E38" s="377" t="s">
        <v>126</v>
      </c>
      <c r="F38" s="378"/>
      <c r="G38" s="374" t="s">
        <v>74</v>
      </c>
      <c r="H38" s="379" t="s">
        <v>127</v>
      </c>
      <c r="I38" s="380"/>
      <c r="J38" s="374" t="s">
        <v>74</v>
      </c>
      <c r="K38" s="9"/>
      <c r="Q38" s="146"/>
      <c r="R38" s="146">
        <v>2020</v>
      </c>
      <c r="S38" s="146">
        <v>2021</v>
      </c>
    </row>
    <row r="39" spans="2:19" s="1" customFormat="1" ht="12.75" customHeight="1">
      <c r="B39" s="8"/>
      <c r="C39" s="152" t="s">
        <v>75</v>
      </c>
      <c r="D39" s="153"/>
      <c r="E39" s="154">
        <v>2020</v>
      </c>
      <c r="F39" s="155">
        <v>2021</v>
      </c>
      <c r="G39" s="375"/>
      <c r="H39" s="241">
        <v>2020</v>
      </c>
      <c r="I39" s="94">
        <v>2021</v>
      </c>
      <c r="J39" s="375"/>
      <c r="K39" s="9"/>
      <c r="Q39" s="146" t="s">
        <v>66</v>
      </c>
      <c r="R39" s="147">
        <f>SUM(E41,E46)</f>
        <v>2838.4264427423582</v>
      </c>
      <c r="S39" s="147">
        <f>SUM(F41,F46)</f>
        <v>2712.4854332080122</v>
      </c>
    </row>
    <row r="40" spans="2:19" s="1" customFormat="1">
      <c r="B40" s="8"/>
      <c r="C40" s="368" t="s">
        <v>68</v>
      </c>
      <c r="D40" s="369"/>
      <c r="E40" s="191">
        <f>SUM(E41:E44)</f>
        <v>3472.2938354301564</v>
      </c>
      <c r="F40" s="192">
        <f>SUM(F41:F44)</f>
        <v>4667.6102451720399</v>
      </c>
      <c r="G40" s="193">
        <f>((F40/E40)-1)</f>
        <v>0.34424402610898408</v>
      </c>
      <c r="H40" s="237">
        <f>SUM(H41:H44)</f>
        <v>20024.078152888134</v>
      </c>
      <c r="I40" s="192">
        <f>SUM(I41:I44)</f>
        <v>22842.529316523109</v>
      </c>
      <c r="J40" s="193">
        <f>((I40/H40)-1)</f>
        <v>0.14075310444333544</v>
      </c>
      <c r="K40" s="9"/>
      <c r="Q40" s="146" t="s">
        <v>65</v>
      </c>
      <c r="R40" s="147">
        <f>SUM(E42,E47)</f>
        <v>597.12699774869043</v>
      </c>
      <c r="S40" s="147">
        <f>SUM(F42,F47)</f>
        <v>1883.1708604525297</v>
      </c>
    </row>
    <row r="41" spans="2:19" s="1" customFormat="1">
      <c r="B41" s="8"/>
      <c r="C41" s="157" t="s">
        <v>66</v>
      </c>
      <c r="D41" s="132"/>
      <c r="E41" s="158">
        <v>2791.0138264301563</v>
      </c>
      <c r="F41" s="159">
        <f>D12</f>
        <v>2655.2879919770412</v>
      </c>
      <c r="G41" s="279">
        <f t="shared" ref="G41:G48" si="2">((F41/E41)-1)</f>
        <v>-4.8629581540523992E-2</v>
      </c>
      <c r="H41" s="238">
        <v>15100.025277888139</v>
      </c>
      <c r="I41" s="159">
        <v>15407.436919669606</v>
      </c>
      <c r="J41" s="279">
        <f t="shared" ref="J41:J48" si="3">((I41/H41)-1)</f>
        <v>2.0358352792404277E-2</v>
      </c>
      <c r="K41" s="9"/>
      <c r="Q41" s="146" t="s">
        <v>67</v>
      </c>
      <c r="R41" s="147">
        <f>E43</f>
        <v>131.245453</v>
      </c>
      <c r="S41" s="147">
        <f>F43</f>
        <v>159.62707914749993</v>
      </c>
    </row>
    <row r="42" spans="2:19" s="1" customFormat="1">
      <c r="B42" s="8"/>
      <c r="C42" s="157" t="s">
        <v>65</v>
      </c>
      <c r="D42" s="132"/>
      <c r="E42" s="158">
        <v>491.10573600000004</v>
      </c>
      <c r="F42" s="159">
        <f>D13</f>
        <v>1795.5646529974986</v>
      </c>
      <c r="G42" s="279">
        <f t="shared" si="2"/>
        <v>2.6561671374929703</v>
      </c>
      <c r="H42" s="238">
        <v>3985.6381219999998</v>
      </c>
      <c r="I42" s="159">
        <v>6384.9608821559987</v>
      </c>
      <c r="J42" s="279">
        <f t="shared" si="3"/>
        <v>0.60199212440090144</v>
      </c>
      <c r="K42" s="9"/>
      <c r="Q42" s="146" t="s">
        <v>5</v>
      </c>
      <c r="R42" s="147">
        <f>E44</f>
        <v>58.928820000000009</v>
      </c>
      <c r="S42" s="147">
        <f>F44</f>
        <v>57.130521050000013</v>
      </c>
    </row>
    <row r="43" spans="2:19" s="1" customFormat="1">
      <c r="B43" s="8"/>
      <c r="C43" s="157" t="s">
        <v>67</v>
      </c>
      <c r="D43" s="132"/>
      <c r="E43" s="158">
        <v>131.245453</v>
      </c>
      <c r="F43" s="159">
        <f>D14</f>
        <v>159.62707914749993</v>
      </c>
      <c r="G43" s="279">
        <f t="shared" si="2"/>
        <v>0.21624845279401739</v>
      </c>
      <c r="H43" s="238">
        <v>642.75296199999991</v>
      </c>
      <c r="I43" s="159">
        <v>730.12832822249993</v>
      </c>
      <c r="J43" s="279">
        <f t="shared" si="3"/>
        <v>0.13593926654281208</v>
      </c>
      <c r="K43" s="9"/>
    </row>
    <row r="44" spans="2:19" s="1" customFormat="1">
      <c r="B44" s="8"/>
      <c r="C44" s="157" t="s">
        <v>5</v>
      </c>
      <c r="D44" s="132"/>
      <c r="E44" s="158">
        <v>58.928820000000009</v>
      </c>
      <c r="F44" s="159">
        <f>D15</f>
        <v>57.130521050000013</v>
      </c>
      <c r="G44" s="93">
        <f t="shared" si="2"/>
        <v>-3.0516459518449501E-2</v>
      </c>
      <c r="H44" s="238">
        <v>295.66179099999999</v>
      </c>
      <c r="I44" s="159">
        <v>320.00318647500006</v>
      </c>
      <c r="J44" s="160">
        <f t="shared" si="3"/>
        <v>8.2328512563870859E-2</v>
      </c>
      <c r="K44" s="9"/>
      <c r="Q44" s="146"/>
      <c r="R44" s="146"/>
      <c r="S44" s="146"/>
    </row>
    <row r="45" spans="2:19" s="1" customFormat="1">
      <c r="B45" s="8"/>
      <c r="C45" s="368" t="s">
        <v>64</v>
      </c>
      <c r="D45" s="369"/>
      <c r="E45" s="191">
        <f>SUM(E46:E47)</f>
        <v>153.4338780608922</v>
      </c>
      <c r="F45" s="192">
        <f>SUM(F46:F47)</f>
        <v>144.80364868600202</v>
      </c>
      <c r="G45" s="193">
        <f t="shared" si="2"/>
        <v>-5.6247221825841853E-2</v>
      </c>
      <c r="H45" s="237">
        <f>SUM(H46:H47)</f>
        <v>943.18872746128227</v>
      </c>
      <c r="I45" s="192">
        <f>SUM(I46:I47)</f>
        <v>815.45209901018177</v>
      </c>
      <c r="J45" s="193">
        <f t="shared" si="3"/>
        <v>-0.13543061397152256</v>
      </c>
      <c r="K45" s="9"/>
    </row>
    <row r="46" spans="2:19" s="1" customFormat="1">
      <c r="B46" s="8"/>
      <c r="C46" s="157" t="s">
        <v>66</v>
      </c>
      <c r="D46" s="132"/>
      <c r="E46" s="158">
        <v>47.412616312201841</v>
      </c>
      <c r="F46" s="159">
        <f>E12</f>
        <v>57.197441230970796</v>
      </c>
      <c r="G46" s="160">
        <f t="shared" si="2"/>
        <v>0.20637597500078875</v>
      </c>
      <c r="H46" s="238">
        <v>283.78295069428185</v>
      </c>
      <c r="I46" s="159">
        <v>304.6877060781224</v>
      </c>
      <c r="J46" s="160">
        <f t="shared" si="3"/>
        <v>7.3664592367852055E-2</v>
      </c>
      <c r="K46" s="9"/>
    </row>
    <row r="47" spans="2:19" s="1" customFormat="1" ht="13.8" thickBot="1">
      <c r="B47" s="8"/>
      <c r="C47" s="161" t="s">
        <v>65</v>
      </c>
      <c r="D47" s="132"/>
      <c r="E47" s="162">
        <v>106.02126174869035</v>
      </c>
      <c r="F47" s="163">
        <f>E13</f>
        <v>87.60620745503121</v>
      </c>
      <c r="G47" s="303">
        <f t="shared" si="2"/>
        <v>-0.17369208769944311</v>
      </c>
      <c r="H47" s="239">
        <v>659.40577676700048</v>
      </c>
      <c r="I47" s="163">
        <v>510.76439293205937</v>
      </c>
      <c r="J47" s="164">
        <f t="shared" si="3"/>
        <v>-0.22541716962765279</v>
      </c>
      <c r="K47" s="9"/>
    </row>
    <row r="48" spans="2:19" s="1" customFormat="1" ht="14.4" thickTop="1" thickBot="1">
      <c r="B48" s="8"/>
      <c r="C48" s="370" t="s">
        <v>108</v>
      </c>
      <c r="D48" s="371"/>
      <c r="E48" s="194">
        <f>SUM(E40,E45)</f>
        <v>3625.7277134910487</v>
      </c>
      <c r="F48" s="195">
        <f>SUM(F40,F45)</f>
        <v>4812.4138938580418</v>
      </c>
      <c r="G48" s="196">
        <f t="shared" si="2"/>
        <v>0.327296000731502</v>
      </c>
      <c r="H48" s="240">
        <f>SUM(H40,H45)</f>
        <v>20967.266880349416</v>
      </c>
      <c r="I48" s="195">
        <f>SUM(I40,I45)</f>
        <v>23657.98141553329</v>
      </c>
      <c r="J48" s="196">
        <f t="shared" si="3"/>
        <v>0.12832929301365548</v>
      </c>
      <c r="K48" s="9"/>
    </row>
    <row r="49" spans="2:23" s="1" customFormat="1">
      <c r="B49" s="8"/>
      <c r="C49" s="265"/>
      <c r="D49" s="90"/>
      <c r="E49" s="91"/>
      <c r="F49" s="91"/>
      <c r="G49" s="95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5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60"/>
    </row>
    <row r="53" spans="2:23" s="1" customFormat="1" ht="13.8" thickBot="1">
      <c r="B53" s="8"/>
      <c r="C53" s="10"/>
      <c r="H53" s="9"/>
      <c r="I53" s="9"/>
      <c r="J53" s="9"/>
      <c r="K53" s="9"/>
      <c r="L53" s="260"/>
      <c r="M53" s="260"/>
    </row>
    <row r="54" spans="2:23" s="1" customFormat="1" ht="12.75" customHeight="1">
      <c r="B54" s="8"/>
      <c r="C54" s="149"/>
      <c r="D54" s="150"/>
      <c r="E54" s="377" t="s">
        <v>126</v>
      </c>
      <c r="F54" s="378"/>
      <c r="G54" s="374" t="s">
        <v>74</v>
      </c>
      <c r="H54" s="379" t="s">
        <v>127</v>
      </c>
      <c r="I54" s="380"/>
      <c r="J54" s="374" t="s">
        <v>74</v>
      </c>
      <c r="K54" s="9"/>
      <c r="L54" s="260"/>
      <c r="M54" s="260"/>
    </row>
    <row r="55" spans="2:23" s="1" customFormat="1" ht="12.75" customHeight="1">
      <c r="B55" s="8"/>
      <c r="C55" s="152" t="s">
        <v>75</v>
      </c>
      <c r="D55" s="153"/>
      <c r="E55" s="154">
        <v>2020</v>
      </c>
      <c r="F55" s="155">
        <v>2021</v>
      </c>
      <c r="G55" s="375"/>
      <c r="H55" s="241">
        <v>2020</v>
      </c>
      <c r="I55" s="94">
        <v>2021</v>
      </c>
      <c r="J55" s="375"/>
      <c r="K55" s="9"/>
      <c r="L55" s="260"/>
      <c r="M55" s="260"/>
    </row>
    <row r="56" spans="2:23" s="1" customFormat="1">
      <c r="B56" s="8"/>
      <c r="C56" s="368" t="s">
        <v>68</v>
      </c>
      <c r="D56" s="369"/>
      <c r="E56" s="191">
        <f>SUM(E57:E60)</f>
        <v>3472.2938354301564</v>
      </c>
      <c r="F56" s="192">
        <f>SUM(F57:F60)</f>
        <v>4667.6102451720399</v>
      </c>
      <c r="G56" s="193">
        <f>((F56/E56)-1)</f>
        <v>0.34424402610898408</v>
      </c>
      <c r="H56" s="237">
        <f>SUM(H57:H60)</f>
        <v>20024.078152888138</v>
      </c>
      <c r="I56" s="192">
        <f>SUM(I57:I60)</f>
        <v>22842.529316523105</v>
      </c>
      <c r="J56" s="193">
        <f>((I56/H56)-1)</f>
        <v>0.140753104443335</v>
      </c>
      <c r="K56" s="9"/>
    </row>
    <row r="57" spans="2:23" s="1" customFormat="1" ht="26.4">
      <c r="B57" s="8"/>
      <c r="C57" s="382" t="s">
        <v>78</v>
      </c>
      <c r="D57" s="281" t="s">
        <v>79</v>
      </c>
      <c r="E57" s="327">
        <f>SUM(E43:E44)+19.599797</f>
        <v>209.77406999999999</v>
      </c>
      <c r="F57" s="328">
        <f>SUM(F43:F44)+35.8200057601526</f>
        <v>252.57760595765251</v>
      </c>
      <c r="G57" s="171">
        <f t="shared" ref="G57:G65" si="4">((F57/E57)-1)</f>
        <v>0.20404588592695228</v>
      </c>
      <c r="H57" s="329">
        <f>SUM(H43:H44)+105.538204</f>
        <v>1043.952957</v>
      </c>
      <c r="I57" s="328">
        <f>SUM(I43:I44)+131.921821072653</f>
        <v>1182.0533357701531</v>
      </c>
      <c r="J57" s="171">
        <f t="shared" ref="J57:J65" si="5">((I57/H57)-1)</f>
        <v>0.13228601714679855</v>
      </c>
      <c r="K57" s="9"/>
      <c r="L57" s="260"/>
      <c r="Q57" s="146"/>
      <c r="R57" s="146"/>
      <c r="T57" s="146">
        <v>2020</v>
      </c>
      <c r="U57" s="146">
        <v>2021</v>
      </c>
      <c r="V57" s="146"/>
      <c r="W57" s="146"/>
    </row>
    <row r="58" spans="2:23" s="1" customFormat="1" ht="13.8">
      <c r="B58" s="8"/>
      <c r="C58" s="383"/>
      <c r="D58" s="282" t="s">
        <v>110</v>
      </c>
      <c r="E58" s="270">
        <v>205.34114510749987</v>
      </c>
      <c r="F58" s="332">
        <v>209.08782491500023</v>
      </c>
      <c r="G58" s="280">
        <f t="shared" si="4"/>
        <v>1.8246123082341414E-2</v>
      </c>
      <c r="H58" s="272">
        <v>1126.9439163600002</v>
      </c>
      <c r="I58" s="271">
        <v>1191.3876939424997</v>
      </c>
      <c r="J58" s="280">
        <f t="shared" si="5"/>
        <v>5.7184547205020753E-2</v>
      </c>
      <c r="K58" s="9"/>
      <c r="L58" s="260"/>
      <c r="M58" s="260"/>
      <c r="Q58" s="376" t="s">
        <v>80</v>
      </c>
      <c r="R58" s="146" t="s">
        <v>66</v>
      </c>
      <c r="T58" s="147">
        <f>SUM(E60,E64)</f>
        <v>2633.0852976348583</v>
      </c>
      <c r="U58" s="147">
        <f>SUM(F60,F64)</f>
        <v>2503.3976082930121</v>
      </c>
      <c r="V58" s="148">
        <f t="shared" ref="V58:W61" si="6">T58/T$64</f>
        <v>0.72622256984090516</v>
      </c>
      <c r="W58" s="148">
        <f t="shared" si="6"/>
        <v>0.52019582344902482</v>
      </c>
    </row>
    <row r="59" spans="2:23" s="1" customFormat="1">
      <c r="B59" s="8"/>
      <c r="C59" s="381" t="s">
        <v>80</v>
      </c>
      <c r="D59" s="283" t="s">
        <v>81</v>
      </c>
      <c r="E59" s="158">
        <f>SUM(E42:E44)-E57</f>
        <v>471.50593899999996</v>
      </c>
      <c r="F59" s="159">
        <f>SUM(F42:F44)-F57</f>
        <v>1759.7446472373458</v>
      </c>
      <c r="G59" s="279">
        <f t="shared" si="4"/>
        <v>2.7321791767236805</v>
      </c>
      <c r="H59" s="238">
        <f>SUM(H42:H44)-H57</f>
        <v>3880.0999179999994</v>
      </c>
      <c r="I59" s="159">
        <f>SUM(I42:I44)-I57</f>
        <v>6253.0390610833456</v>
      </c>
      <c r="J59" s="279">
        <f t="shared" si="5"/>
        <v>0.61156650427354964</v>
      </c>
      <c r="K59" s="9"/>
      <c r="Q59" s="376"/>
      <c r="R59" s="146" t="s">
        <v>65</v>
      </c>
      <c r="T59" s="147">
        <f>SUM(E59,E63)</f>
        <v>558.08319674869028</v>
      </c>
      <c r="U59" s="147">
        <f>SUM(F59,F63)</f>
        <v>1839.028264984149</v>
      </c>
      <c r="V59" s="148">
        <f t="shared" si="6"/>
        <v>0.15392308547387784</v>
      </c>
      <c r="W59" s="148">
        <f t="shared" si="6"/>
        <v>0.38214258073921131</v>
      </c>
    </row>
    <row r="60" spans="2:23" s="1" customFormat="1">
      <c r="B60" s="8"/>
      <c r="C60" s="381"/>
      <c r="D60" s="284" t="s">
        <v>41</v>
      </c>
      <c r="E60" s="158">
        <f>E41-E58</f>
        <v>2585.6726813226564</v>
      </c>
      <c r="F60" s="159">
        <f>F41-F58</f>
        <v>2446.2001670620411</v>
      </c>
      <c r="G60" s="160">
        <f t="shared" si="4"/>
        <v>-5.3940514307197818E-2</v>
      </c>
      <c r="H60" s="238">
        <f>H41-H58</f>
        <v>13973.081361528139</v>
      </c>
      <c r="I60" s="159">
        <f>I41-I58</f>
        <v>14216.049225727107</v>
      </c>
      <c r="J60" s="279">
        <f t="shared" si="5"/>
        <v>1.7388280931930122E-2</v>
      </c>
      <c r="K60" s="9"/>
      <c r="Q60" s="376" t="s">
        <v>78</v>
      </c>
      <c r="R60" s="146" t="s">
        <v>66</v>
      </c>
      <c r="T60" s="147">
        <f>E58</f>
        <v>205.34114510749987</v>
      </c>
      <c r="U60" s="147">
        <f>F58</f>
        <v>209.08782491500023</v>
      </c>
      <c r="V60" s="148">
        <f t="shared" si="6"/>
        <v>5.6634463846648379E-2</v>
      </c>
      <c r="W60" s="148">
        <f t="shared" si="6"/>
        <v>4.3447598134036966E-2</v>
      </c>
    </row>
    <row r="61" spans="2:23" s="1" customFormat="1">
      <c r="B61" s="8"/>
      <c r="C61" s="368" t="s">
        <v>64</v>
      </c>
      <c r="D61" s="369"/>
      <c r="E61" s="191">
        <f>SUM(E62:E64)</f>
        <v>153.4338780608922</v>
      </c>
      <c r="F61" s="192">
        <f>SUM(F62:F64)</f>
        <v>144.80364868600202</v>
      </c>
      <c r="G61" s="193">
        <f t="shared" si="4"/>
        <v>-5.6247221825841853E-2</v>
      </c>
      <c r="H61" s="237">
        <f>SUM(H62:H64)</f>
        <v>943.18872746128227</v>
      </c>
      <c r="I61" s="192">
        <f>SUM(I62:I64)</f>
        <v>815.45209901018177</v>
      </c>
      <c r="J61" s="193">
        <f t="shared" si="5"/>
        <v>-0.13543061397152256</v>
      </c>
      <c r="K61" s="9"/>
      <c r="Q61" s="376"/>
      <c r="R61" s="146" t="s">
        <v>89</v>
      </c>
      <c r="T61" s="147">
        <f>E57+E62</f>
        <v>229.218074</v>
      </c>
      <c r="U61" s="147">
        <f>F57+F62</f>
        <v>260.90019566588046</v>
      </c>
      <c r="V61" s="148">
        <f t="shared" si="6"/>
        <v>6.3219880838568637E-2</v>
      </c>
      <c r="W61" s="148">
        <f t="shared" si="6"/>
        <v>5.4213997677726881E-2</v>
      </c>
    </row>
    <row r="62" spans="2:23" s="1" customFormat="1">
      <c r="B62" s="8"/>
      <c r="C62" s="315" t="s">
        <v>78</v>
      </c>
      <c r="D62" s="316" t="s">
        <v>114</v>
      </c>
      <c r="E62" s="356">
        <v>19.444004</v>
      </c>
      <c r="F62" s="330">
        <v>8.3225897082279641</v>
      </c>
      <c r="G62" s="317">
        <f t="shared" si="4"/>
        <v>-0.57197140526056445</v>
      </c>
      <c r="H62" s="331">
        <v>84.067094999999995</v>
      </c>
      <c r="I62" s="330">
        <v>66.875311708227969</v>
      </c>
      <c r="J62" s="317">
        <f t="shared" si="5"/>
        <v>-0.2045007418392657</v>
      </c>
      <c r="K62" s="9"/>
      <c r="Q62" s="146"/>
      <c r="R62" s="146"/>
      <c r="T62" s="146"/>
      <c r="U62" s="146"/>
      <c r="V62" s="146"/>
      <c r="W62" s="146"/>
    </row>
    <row r="63" spans="2:23" s="1" customFormat="1">
      <c r="B63" s="8"/>
      <c r="C63" s="384" t="s">
        <v>80</v>
      </c>
      <c r="D63" s="283" t="s">
        <v>81</v>
      </c>
      <c r="E63" s="158">
        <f>E47-E62</f>
        <v>86.577257748690357</v>
      </c>
      <c r="F63" s="159">
        <f>F47-F62</f>
        <v>79.283617746803245</v>
      </c>
      <c r="G63" s="279">
        <f t="shared" ref="G63" si="7">((F63/E63)-1)</f>
        <v>-8.4244294535852804E-2</v>
      </c>
      <c r="H63" s="238">
        <f>H47-H62</f>
        <v>575.33868176700048</v>
      </c>
      <c r="I63" s="159">
        <f>I47-I62</f>
        <v>443.8890812238314</v>
      </c>
      <c r="J63" s="337">
        <f t="shared" ref="J63" si="8">((I63/H63)-1)</f>
        <v>-0.22847342740706467</v>
      </c>
      <c r="K63" s="9"/>
      <c r="Q63" s="146"/>
      <c r="R63" s="146"/>
      <c r="T63" s="146"/>
      <c r="U63" s="146"/>
      <c r="V63" s="146"/>
      <c r="W63" s="146"/>
    </row>
    <row r="64" spans="2:23" s="1" customFormat="1" ht="13.8" thickBot="1">
      <c r="B64" s="8"/>
      <c r="C64" s="385"/>
      <c r="D64" s="285" t="s">
        <v>41</v>
      </c>
      <c r="E64" s="162">
        <f>E46</f>
        <v>47.412616312201841</v>
      </c>
      <c r="F64" s="163">
        <f>F46</f>
        <v>57.197441230970796</v>
      </c>
      <c r="G64" s="164">
        <f t="shared" si="4"/>
        <v>0.20637597500078875</v>
      </c>
      <c r="H64" s="239">
        <f>H46</f>
        <v>283.78295069428185</v>
      </c>
      <c r="I64" s="163">
        <f>I46</f>
        <v>304.6877060781224</v>
      </c>
      <c r="J64" s="164">
        <f t="shared" si="5"/>
        <v>7.3664592367852055E-2</v>
      </c>
      <c r="K64" s="9"/>
      <c r="Q64" s="146"/>
      <c r="R64" s="146"/>
      <c r="T64" s="147">
        <f>SUM(T58:T61)</f>
        <v>3625.7277134910482</v>
      </c>
      <c r="U64" s="147">
        <f>SUM(U58:U61)</f>
        <v>4812.4138938580418</v>
      </c>
      <c r="V64" s="146"/>
      <c r="W64" s="146"/>
    </row>
    <row r="65" spans="2:22" s="1" customFormat="1" ht="14.4" thickTop="1" thickBot="1">
      <c r="B65" s="8"/>
      <c r="C65" s="370" t="s">
        <v>108</v>
      </c>
      <c r="D65" s="371"/>
      <c r="E65" s="194">
        <f>SUM(E56,E61)</f>
        <v>3625.7277134910487</v>
      </c>
      <c r="F65" s="195">
        <f>SUM(F56,F61)</f>
        <v>4812.4138938580418</v>
      </c>
      <c r="G65" s="196">
        <f t="shared" si="4"/>
        <v>0.327296000731502</v>
      </c>
      <c r="H65" s="240">
        <f>SUM(H56,H61)</f>
        <v>20967.26688034942</v>
      </c>
      <c r="I65" s="195">
        <f>SUM(I56,I61)</f>
        <v>23657.981415533286</v>
      </c>
      <c r="J65" s="196">
        <f t="shared" si="5"/>
        <v>0.12832929301365503</v>
      </c>
      <c r="K65" s="9"/>
      <c r="Q65" s="146"/>
      <c r="R65" s="146"/>
      <c r="S65" s="146"/>
      <c r="T65" s="146"/>
      <c r="U65" s="146"/>
      <c r="V65" s="146"/>
    </row>
    <row r="66" spans="2:22" s="1" customFormat="1">
      <c r="B66" s="8"/>
      <c r="C66" s="265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5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topLeftCell="A64" zoomScale="120" zoomScaleNormal="100" zoomScaleSheetLayoutView="120" workbookViewId="0">
      <selection activeCell="C26" sqref="C26:I35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2712.4854332080122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1708.8214676153477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130.02036062215757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44.142595468380534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159.62707914749993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57.130521050000013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6">
        <f t="shared" si="0"/>
        <v>0.18643674664354359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4812.4138938580418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1"/>
      <c r="G23" s="264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1"/>
      <c r="D25" s="131"/>
      <c r="E25" s="167"/>
      <c r="F25" s="167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5" t="s">
        <v>61</v>
      </c>
      <c r="D26" s="388" t="s">
        <v>126</v>
      </c>
      <c r="E26" s="388"/>
      <c r="F26" s="389" t="s">
        <v>74</v>
      </c>
      <c r="G26" s="391" t="s">
        <v>127</v>
      </c>
      <c r="H26" s="392"/>
      <c r="I26" s="389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6"/>
      <c r="D27" s="96">
        <v>2020</v>
      </c>
      <c r="E27" s="97">
        <v>2021</v>
      </c>
      <c r="F27" s="390"/>
      <c r="G27" s="242">
        <v>2020</v>
      </c>
      <c r="H27" s="97">
        <v>2021</v>
      </c>
      <c r="I27" s="390"/>
      <c r="J27" s="20"/>
      <c r="K27" s="54"/>
      <c r="L27" s="54"/>
      <c r="M27" s="55" t="s">
        <v>85</v>
      </c>
      <c r="N27" s="70">
        <f t="shared" ref="N27:O29" si="1">D28</f>
        <v>2838.4264427423582</v>
      </c>
      <c r="O27" s="70">
        <f t="shared" si="1"/>
        <v>2712.4854332080122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8" t="s">
        <v>85</v>
      </c>
      <c r="D28" s="169">
        <f>'Resumen (G)'!E41+'Resumen (G)'!E46</f>
        <v>2838.4264427423582</v>
      </c>
      <c r="E28" s="170">
        <f>'Resumen (G)'!F41+'Resumen (G)'!F46</f>
        <v>2712.4854332080122</v>
      </c>
      <c r="F28" s="171">
        <f>+E28/D28-1</f>
        <v>-4.4370009959697088E-2</v>
      </c>
      <c r="G28" s="255">
        <f>'Resumen (G)'!H41+'Resumen (G)'!H46</f>
        <v>15383.80822858242</v>
      </c>
      <c r="H28" s="170">
        <f>'Resumen (G)'!I41+'Resumen (G)'!I46</f>
        <v>15712.124625747729</v>
      </c>
      <c r="I28" s="362">
        <f>+H28/G28-1</f>
        <v>2.1341685510309016E-2</v>
      </c>
      <c r="J28" s="304"/>
      <c r="K28" s="54"/>
      <c r="L28" s="54"/>
      <c r="M28" s="55" t="s">
        <v>2</v>
      </c>
      <c r="N28" s="70">
        <f t="shared" si="1"/>
        <v>493.31278100000003</v>
      </c>
      <c r="O28" s="70">
        <f t="shared" si="1"/>
        <v>1708.8214676153477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2" t="s">
        <v>2</v>
      </c>
      <c r="D29" s="173">
        <v>493.31278100000003</v>
      </c>
      <c r="E29" s="174">
        <v>1708.8214676153477</v>
      </c>
      <c r="F29" s="175">
        <f t="shared" ref="F29:F35" si="2">+E29/D29-1</f>
        <v>2.463971608745624</v>
      </c>
      <c r="G29" s="256">
        <v>3999.0666310000001</v>
      </c>
      <c r="H29" s="174">
        <v>6259.1124739155475</v>
      </c>
      <c r="I29" s="175">
        <f t="shared" ref="I29:I35" si="3">+H29/G29-1</f>
        <v>0.56514333254567561</v>
      </c>
      <c r="J29" s="262"/>
      <c r="K29" s="263"/>
      <c r="L29" s="54"/>
      <c r="M29" s="55" t="s">
        <v>84</v>
      </c>
      <c r="N29" s="70">
        <f t="shared" si="1"/>
        <v>64.555415748691303</v>
      </c>
      <c r="O29" s="70">
        <f t="shared" si="1"/>
        <v>130.02036062215757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2" t="s">
        <v>3</v>
      </c>
      <c r="D30" s="173">
        <f>'Resumen (G)'!E32-SUM('TipoRecurso (G)'!D28:D29,'TipoRecurso (G)'!D31:D34)</f>
        <v>64.555415748691303</v>
      </c>
      <c r="E30" s="174">
        <f>'Resumen (G)'!F32-SUM('TipoRecurso (G)'!E28:E29,'TipoRecurso (G)'!E31:E34)</f>
        <v>130.02036062215757</v>
      </c>
      <c r="F30" s="175">
        <f t="shared" si="2"/>
        <v>1.0140891219462622</v>
      </c>
      <c r="G30" s="256">
        <f>'Resumen (G)'!H32-SUM('TipoRecurso (G)'!G28:G29,'TipoRecurso (G)'!G31:G34)</f>
        <v>455.14396876700266</v>
      </c>
      <c r="H30" s="174">
        <f>'Resumen (G)'!I32-SUM('TipoRecurso (G)'!H28:H29,'TipoRecurso (G)'!H31:H34)</f>
        <v>436.73623864498222</v>
      </c>
      <c r="I30" s="175">
        <f t="shared" si="3"/>
        <v>-4.0443752713866465E-2</v>
      </c>
      <c r="J30" s="304"/>
      <c r="K30" s="54"/>
      <c r="L30" s="54"/>
      <c r="M30" s="55" t="s">
        <v>4</v>
      </c>
      <c r="N30" s="100">
        <f>D34</f>
        <v>0.215</v>
      </c>
      <c r="O30" s="100">
        <f>E34</f>
        <v>0.18643674664354359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2" t="s">
        <v>6</v>
      </c>
      <c r="D31" s="173">
        <f>'Resumen (G)'!E57+'Resumen (G)'!E62-SUM('TipoRecurso (G)'!D32:D33)</f>
        <v>39.043801000000002</v>
      </c>
      <c r="E31" s="174">
        <f>'Resumen (G)'!F57+'Resumen (G)'!F62-SUM('TipoRecurso (G)'!E32:E33)</f>
        <v>44.142595468380534</v>
      </c>
      <c r="F31" s="175">
        <f t="shared" si="2"/>
        <v>0.13059165188298483</v>
      </c>
      <c r="G31" s="256">
        <f>'Resumen (G)'!H57+'Resumen (G)'!H62-SUM('TipoRecurso (G)'!G32:G33)</f>
        <v>189.60529899999995</v>
      </c>
      <c r="H31" s="174">
        <f>'Resumen (G)'!I57+'Resumen (G)'!I62-SUM('TipoRecurso (G)'!H32:H33)</f>
        <v>198.79713278088116</v>
      </c>
      <c r="I31" s="175">
        <f t="shared" si="3"/>
        <v>4.8478781075001587E-2</v>
      </c>
      <c r="J31" s="20"/>
      <c r="K31" s="54"/>
      <c r="L31" s="54"/>
      <c r="M31" s="55" t="s">
        <v>90</v>
      </c>
      <c r="N31" s="70">
        <f t="shared" ref="N31:O33" si="4">D31</f>
        <v>39.043801000000002</v>
      </c>
      <c r="O31" s="70">
        <f t="shared" si="4"/>
        <v>44.142595468380534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2" t="s">
        <v>14</v>
      </c>
      <c r="D32" s="173">
        <f>'Resumen (G)'!E43</f>
        <v>131.245453</v>
      </c>
      <c r="E32" s="174">
        <f>'Resumen (G)'!F43</f>
        <v>159.62707914749993</v>
      </c>
      <c r="F32" s="175">
        <f t="shared" si="2"/>
        <v>0.21624845279401739</v>
      </c>
      <c r="G32" s="256">
        <f>'Resumen (G)'!H43</f>
        <v>642.75296199999991</v>
      </c>
      <c r="H32" s="174">
        <f>'Resumen (G)'!I43</f>
        <v>730.12832822249993</v>
      </c>
      <c r="I32" s="175">
        <f t="shared" si="3"/>
        <v>0.13593926654281208</v>
      </c>
      <c r="J32" s="20"/>
      <c r="K32" s="54"/>
      <c r="L32" s="54"/>
      <c r="M32" s="55" t="s">
        <v>14</v>
      </c>
      <c r="N32" s="70">
        <f t="shared" si="4"/>
        <v>131.245453</v>
      </c>
      <c r="O32" s="70">
        <f t="shared" si="4"/>
        <v>159.62707914749993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2" t="s">
        <v>5</v>
      </c>
      <c r="D33" s="173">
        <f>'Resumen (G)'!E44</f>
        <v>58.928820000000009</v>
      </c>
      <c r="E33" s="174">
        <f>'Resumen (G)'!F44</f>
        <v>57.130521050000013</v>
      </c>
      <c r="F33" s="175">
        <f t="shared" si="2"/>
        <v>-3.0516459518449501E-2</v>
      </c>
      <c r="G33" s="256">
        <f>'Resumen (G)'!H44</f>
        <v>295.66179099999999</v>
      </c>
      <c r="H33" s="174">
        <f>'Resumen (G)'!I44</f>
        <v>320.00318647500006</v>
      </c>
      <c r="I33" s="175">
        <f t="shared" si="3"/>
        <v>8.2328512563870859E-2</v>
      </c>
      <c r="J33" s="20"/>
      <c r="K33" s="54"/>
      <c r="L33" s="54"/>
      <c r="M33" s="55" t="s">
        <v>5</v>
      </c>
      <c r="N33" s="70">
        <f t="shared" si="4"/>
        <v>58.928820000000009</v>
      </c>
      <c r="O33" s="70">
        <f t="shared" si="4"/>
        <v>57.130521050000013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6" t="s">
        <v>4</v>
      </c>
      <c r="D34" s="363">
        <v>0.215</v>
      </c>
      <c r="E34" s="364">
        <v>0.18643674664354359</v>
      </c>
      <c r="F34" s="177">
        <f t="shared" si="2"/>
        <v>-0.13285234119282052</v>
      </c>
      <c r="G34" s="358">
        <v>1.228</v>
      </c>
      <c r="H34" s="357">
        <v>1.0794297466435436</v>
      </c>
      <c r="I34" s="177">
        <f t="shared" si="3"/>
        <v>-0.12098554833587649</v>
      </c>
      <c r="J34" s="20"/>
      <c r="K34" s="54"/>
      <c r="L34" s="54"/>
      <c r="M34" s="98"/>
      <c r="N34" s="99">
        <f>SUM(N27:N33)</f>
        <v>3625.7277134910496</v>
      </c>
      <c r="O34" s="99">
        <f>SUM(O27:O33)</f>
        <v>4812.4138938580418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7" t="s">
        <v>108</v>
      </c>
      <c r="D35" s="308">
        <f>SUM(D28:D34)</f>
        <v>3625.7277134910496</v>
      </c>
      <c r="E35" s="309">
        <f>SUM(E28:E34)</f>
        <v>4812.4138938580418</v>
      </c>
      <c r="F35" s="310">
        <f t="shared" si="2"/>
        <v>0.32729600073150156</v>
      </c>
      <c r="G35" s="311">
        <f>SUM(G28:G34)</f>
        <v>20967.26688034942</v>
      </c>
      <c r="H35" s="309">
        <f>SUM(H28:H34)</f>
        <v>23657.981415533282</v>
      </c>
      <c r="I35" s="312">
        <f t="shared" si="3"/>
        <v>0.12832929301365481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8"/>
      <c r="D36" s="178"/>
      <c r="E36" s="179"/>
      <c r="F36" s="180"/>
      <c r="G36" s="17"/>
      <c r="H36" s="17"/>
      <c r="I36" s="18"/>
      <c r="J36" s="20"/>
      <c r="K36" s="54"/>
      <c r="L36" s="54"/>
      <c r="M36" s="55"/>
      <c r="N36" s="99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1"/>
      <c r="N39" s="23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1">
        <f t="shared" ref="M40:N46" si="5">N27/N$34</f>
        <v>0.78285703368755333</v>
      </c>
      <c r="N40" s="231">
        <f t="shared" si="5"/>
        <v>0.5636434215830618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1">
        <f t="shared" si="5"/>
        <v>0.13605897077279733</v>
      </c>
      <c r="N41" s="231">
        <f t="shared" si="5"/>
        <v>0.35508613874552059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1">
        <f t="shared" si="5"/>
        <v>1.7804816260329103E-2</v>
      </c>
      <c r="N42" s="231">
        <f t="shared" si="5"/>
        <v>2.7017701197334494E-2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1">
        <f t="shared" si="5"/>
        <v>5.9298440751632227E-5</v>
      </c>
      <c r="N43" s="231">
        <f t="shared" si="5"/>
        <v>3.8740796356167111E-5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1">
        <f t="shared" si="5"/>
        <v>1.0768541954962881E-2</v>
      </c>
      <c r="N44" s="231">
        <f t="shared" si="5"/>
        <v>9.1726514888336129E-3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1">
        <f t="shared" si="5"/>
        <v>3.6198375435542475E-2</v>
      </c>
      <c r="N45" s="231">
        <f t="shared" si="5"/>
        <v>3.3169856680704005E-2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1">
        <f t="shared" si="5"/>
        <v>1.6252963448063259E-2</v>
      </c>
      <c r="N46" s="231">
        <f t="shared" si="5"/>
        <v>1.1871489508189269E-2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1">
        <f>N34/N$34</f>
        <v>1</v>
      </c>
      <c r="N47" s="23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2">
        <f>SUM(M39:M46)</f>
        <v>1</v>
      </c>
      <c r="N49" s="232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6" t="s">
        <v>91</v>
      </c>
      <c r="D53" s="388" t="s">
        <v>126</v>
      </c>
      <c r="E53" s="388"/>
      <c r="F53" s="389" t="s">
        <v>74</v>
      </c>
      <c r="G53" s="391" t="s">
        <v>127</v>
      </c>
      <c r="H53" s="392"/>
      <c r="I53" s="389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7"/>
      <c r="D54" s="96">
        <v>2020</v>
      </c>
      <c r="E54" s="97">
        <v>2021</v>
      </c>
      <c r="F54" s="390"/>
      <c r="G54" s="242">
        <v>2020</v>
      </c>
      <c r="H54" s="97">
        <v>2021</v>
      </c>
      <c r="I54" s="390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0" t="s">
        <v>42</v>
      </c>
      <c r="D55" s="291">
        <f>SUM(D28:D30,D34)</f>
        <v>3396.5096394910497</v>
      </c>
      <c r="E55" s="292">
        <f>SUM(E28:E30,E34)</f>
        <v>4551.5136981921605</v>
      </c>
      <c r="F55" s="293">
        <f>+E55/D55-1</f>
        <v>0.34005616980206255</v>
      </c>
      <c r="G55" s="294">
        <f>SUM(G28:G30,G34)</f>
        <v>19839.246828349424</v>
      </c>
      <c r="H55" s="292">
        <f>SUM(H28:H30,H34)</f>
        <v>22409.052768054898</v>
      </c>
      <c r="I55" s="293">
        <f>+H55/G55-1</f>
        <v>0.12953142636611248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5" t="s">
        <v>104</v>
      </c>
      <c r="D56" s="296">
        <f>SUM(D31:D33)</f>
        <v>229.218074</v>
      </c>
      <c r="E56" s="297">
        <f>SUM(E31:E33)</f>
        <v>260.90019566588046</v>
      </c>
      <c r="F56" s="298">
        <f>+E56/D56-1</f>
        <v>0.1382182526578617</v>
      </c>
      <c r="G56" s="299">
        <f>SUM(G31:G33)</f>
        <v>1128.0200519999999</v>
      </c>
      <c r="H56" s="297">
        <f>SUM(H31:H33)</f>
        <v>1248.9286474783812</v>
      </c>
      <c r="I56" s="300">
        <f>+H56/G56-1</f>
        <v>0.10718656575652918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3" t="s">
        <v>71</v>
      </c>
      <c r="D57" s="101">
        <f>SUM(D55:D56)</f>
        <v>3625.7277134910496</v>
      </c>
      <c r="E57" s="102">
        <f>SUM(E55:E56)</f>
        <v>4812.4138938580409</v>
      </c>
      <c r="F57" s="103">
        <f>+E57/D57-1</f>
        <v>0.32729600073150134</v>
      </c>
      <c r="G57" s="257">
        <f>SUM(G55:G56)</f>
        <v>20967.266880349423</v>
      </c>
      <c r="H57" s="102">
        <f>SUM(H55:H56)</f>
        <v>23657.981415533279</v>
      </c>
      <c r="I57" s="103">
        <f>+H57/G57-1</f>
        <v>0.12832929301365459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6" t="s">
        <v>8</v>
      </c>
      <c r="D58" s="104">
        <f>+D56/D57</f>
        <v>6.321988083856861E-2</v>
      </c>
      <c r="E58" s="105">
        <f>+E56/E57</f>
        <v>5.4213997677726895E-2</v>
      </c>
      <c r="F58" s="106"/>
      <c r="G58" s="258">
        <f>+G56/G57</f>
        <v>5.3799098301037185E-2</v>
      </c>
      <c r="H58" s="105">
        <f>+H56/H57</f>
        <v>5.2791006364489058E-2</v>
      </c>
      <c r="I58" s="106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6" t="s">
        <v>105</v>
      </c>
      <c r="D59" s="124"/>
      <c r="E59" s="124"/>
      <c r="F59" s="125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3396.5096394910497</v>
      </c>
      <c r="N63" s="76">
        <f>E55</f>
        <v>4551.5136981921605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229.218074</v>
      </c>
      <c r="N64" s="76">
        <f>E56</f>
        <v>260.90019566588046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6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2"/>
      <c r="D76" s="388" t="s">
        <v>126</v>
      </c>
      <c r="E76" s="388"/>
      <c r="F76" s="107" t="s">
        <v>74</v>
      </c>
      <c r="G76" s="391" t="s">
        <v>127</v>
      </c>
      <c r="H76" s="392"/>
      <c r="I76" s="229" t="s">
        <v>74</v>
      </c>
      <c r="J76" s="19"/>
      <c r="K76" s="57"/>
      <c r="L76" s="57"/>
      <c r="M76" s="55" t="s">
        <v>96</v>
      </c>
      <c r="N76" s="70">
        <f>D78</f>
        <v>7.4813937500000011E-2</v>
      </c>
      <c r="O76" s="70">
        <f>E78</f>
        <v>14.607522837499998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7" t="s">
        <v>95</v>
      </c>
      <c r="D77" s="128">
        <v>2020</v>
      </c>
      <c r="E77" s="234">
        <v>2021</v>
      </c>
      <c r="F77" s="108"/>
      <c r="G77" s="352">
        <v>2020</v>
      </c>
      <c r="H77" s="97">
        <v>2021</v>
      </c>
      <c r="I77" s="230"/>
      <c r="J77" s="19"/>
      <c r="K77" s="57"/>
      <c r="L77" s="57"/>
      <c r="M77" s="55" t="s">
        <v>97</v>
      </c>
      <c r="N77" s="70">
        <f>D79</f>
        <v>3472.2190214926563</v>
      </c>
      <c r="O77" s="70">
        <f>E79</f>
        <v>4653.0027223345396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7" t="s">
        <v>96</v>
      </c>
      <c r="D78" s="365">
        <v>7.4813937500000011E-2</v>
      </c>
      <c r="E78" s="335">
        <v>14.607522837499998</v>
      </c>
      <c r="F78" s="160">
        <f>((E78/D78)-1)</f>
        <v>194.25135724209136</v>
      </c>
      <c r="G78" s="238">
        <v>14.617337442500002</v>
      </c>
      <c r="H78" s="335">
        <v>19.7478787025</v>
      </c>
      <c r="I78" s="160">
        <f>((H78/G78)-1)</f>
        <v>0.35099013621201047</v>
      </c>
      <c r="J78" s="19"/>
      <c r="K78" s="261"/>
      <c r="L78" s="57"/>
    </row>
    <row r="79" spans="2:28" ht="16.5" customHeight="1" thickBot="1">
      <c r="C79" s="301" t="s">
        <v>97</v>
      </c>
      <c r="D79" s="162">
        <f>'Resumen (G)'!E40-D78</f>
        <v>3472.2190214926563</v>
      </c>
      <c r="E79" s="333">
        <f>'Resumen (G)'!F40-E78</f>
        <v>4653.0027223345396</v>
      </c>
      <c r="F79" s="164">
        <f>((E79/D79)-1)</f>
        <v>0.34006601931875879</v>
      </c>
      <c r="G79" s="239">
        <f>'Resumen (G)'!H40-G78</f>
        <v>20009.460815445633</v>
      </c>
      <c r="H79" s="333">
        <f>'Resumen (G)'!I40-H78</f>
        <v>22822.781437820609</v>
      </c>
      <c r="I79" s="164">
        <f>((H79/G79)-1)</f>
        <v>0.14059952181236834</v>
      </c>
      <c r="J79" s="19"/>
      <c r="K79" s="57"/>
      <c r="L79" s="57"/>
      <c r="M79" s="70"/>
      <c r="N79" s="70"/>
      <c r="O79" s="70"/>
    </row>
    <row r="80" spans="2:28" ht="14.4" thickTop="1" thickBot="1">
      <c r="C80" s="129" t="s">
        <v>94</v>
      </c>
      <c r="D80" s="233">
        <f>SUM(D78:D79)</f>
        <v>3472.2938354301564</v>
      </c>
      <c r="E80" s="334">
        <f>SUM(E78:E79)</f>
        <v>4667.6102451720399</v>
      </c>
      <c r="F80" s="130"/>
      <c r="G80" s="259">
        <f>SUM(G78:G79)</f>
        <v>20024.078152888134</v>
      </c>
      <c r="H80" s="334">
        <f>SUM(H78:H79)</f>
        <v>22842.529316523109</v>
      </c>
      <c r="I80" s="130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topLeftCell="A31" zoomScaleNormal="100" zoomScaleSheetLayoutView="100" workbookViewId="0">
      <selection activeCell="C54" sqref="C54:H60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9" t="s">
        <v>44</v>
      </c>
      <c r="D8" s="400" t="s">
        <v>126</v>
      </c>
      <c r="E8" s="401"/>
      <c r="F8" s="389" t="s">
        <v>74</v>
      </c>
      <c r="G8" s="391" t="s">
        <v>127</v>
      </c>
      <c r="H8" s="392"/>
      <c r="I8" s="389" t="s">
        <v>74</v>
      </c>
      <c r="J8" s="26"/>
    </row>
    <row r="9" spans="2:13" s="1" customFormat="1" ht="13.5" customHeight="1">
      <c r="B9" s="19"/>
      <c r="C9" s="210"/>
      <c r="D9" s="111">
        <v>2020</v>
      </c>
      <c r="E9" s="97">
        <v>2021</v>
      </c>
      <c r="F9" s="390"/>
      <c r="G9" s="242">
        <v>2020</v>
      </c>
      <c r="H9" s="97">
        <v>2021</v>
      </c>
      <c r="I9" s="390"/>
      <c r="J9" s="26"/>
    </row>
    <row r="10" spans="2:13">
      <c r="C10" s="197" t="s">
        <v>10</v>
      </c>
      <c r="D10" s="198">
        <f>'Por Región (G)'!O8</f>
        <v>283.94667972224738</v>
      </c>
      <c r="E10" s="199">
        <f>'Por Región (G)'!P8</f>
        <v>383.88859387684835</v>
      </c>
      <c r="F10" s="200">
        <f>+E10/D10-1</f>
        <v>0.35197423069839284</v>
      </c>
      <c r="G10" s="347">
        <f>'Por Región (G)'!Q8</f>
        <v>1452.0929468096049</v>
      </c>
      <c r="H10" s="199">
        <f>'Por Región (G)'!R8</f>
        <v>1620.6176905757115</v>
      </c>
      <c r="I10" s="200">
        <f>+H10/G10-1</f>
        <v>0.11605644400131032</v>
      </c>
      <c r="J10" s="26"/>
      <c r="L10" s="146" t="s">
        <v>9</v>
      </c>
      <c r="M10" s="235">
        <f>E11</f>
        <v>3823.9434205060888</v>
      </c>
    </row>
    <row r="11" spans="2:13">
      <c r="C11" s="201" t="s">
        <v>9</v>
      </c>
      <c r="D11" s="202">
        <f>'Por Región (G)'!O9</f>
        <v>2757.8320893994182</v>
      </c>
      <c r="E11" s="203">
        <f>'Por Región (G)'!P9</f>
        <v>3823.9434205060888</v>
      </c>
      <c r="F11" s="204">
        <f>+E11/D11-1</f>
        <v>0.38657586703867852</v>
      </c>
      <c r="G11" s="348">
        <f>'Por Región (G)'!Q9</f>
        <v>16333.185954014505</v>
      </c>
      <c r="H11" s="203">
        <f>'Por Región (G)'!R9</f>
        <v>18724.625594739529</v>
      </c>
      <c r="I11" s="204">
        <f>+H11/G11-1</f>
        <v>0.1464159930253679</v>
      </c>
      <c r="J11" s="26"/>
      <c r="L11" s="146" t="s">
        <v>12</v>
      </c>
      <c r="M11" s="235">
        <f>E12</f>
        <v>571.97243472510422</v>
      </c>
    </row>
    <row r="12" spans="2:13">
      <c r="C12" s="201" t="s">
        <v>12</v>
      </c>
      <c r="D12" s="202">
        <f>'Por Región (G)'!O10</f>
        <v>556.43548366146024</v>
      </c>
      <c r="E12" s="203">
        <f>'Por Región (G)'!P10</f>
        <v>571.97243472510422</v>
      </c>
      <c r="F12" s="204">
        <f>+E12/D12-1</f>
        <v>2.79222866259492E-2</v>
      </c>
      <c r="G12" s="348">
        <f>'Por Región (G)'!Q10</f>
        <v>2914.0705310105673</v>
      </c>
      <c r="H12" s="203">
        <f>'Por Región (G)'!R10</f>
        <v>3148.8464144255208</v>
      </c>
      <c r="I12" s="204">
        <f>+H12/G12-1</f>
        <v>8.056630095824624E-2</v>
      </c>
      <c r="J12" s="26"/>
      <c r="L12" s="146" t="s">
        <v>10</v>
      </c>
      <c r="M12" s="235">
        <f>E10</f>
        <v>383.88859387684835</v>
      </c>
    </row>
    <row r="13" spans="2:13">
      <c r="C13" s="205" t="s">
        <v>11</v>
      </c>
      <c r="D13" s="206">
        <f>'Por Región (G)'!O11</f>
        <v>27.513460707924512</v>
      </c>
      <c r="E13" s="207">
        <f>'Por Región (G)'!P11</f>
        <v>32.609444750000002</v>
      </c>
      <c r="F13" s="208">
        <f>+E13/D13-1</f>
        <v>0.18521785013427006</v>
      </c>
      <c r="G13" s="349">
        <f>'Por Región (G)'!Q11</f>
        <v>267.91744851474579</v>
      </c>
      <c r="H13" s="207">
        <f>'Por Región (G)'!R11</f>
        <v>163.89171579251732</v>
      </c>
      <c r="I13" s="208">
        <f>+H13/G13-1</f>
        <v>-0.38827531875551979</v>
      </c>
      <c r="J13" s="26"/>
      <c r="L13" s="146" t="s">
        <v>11</v>
      </c>
      <c r="M13" s="235">
        <f>E13</f>
        <v>32.609444750000002</v>
      </c>
    </row>
    <row r="14" spans="2:13" ht="13.8" thickBot="1">
      <c r="C14" s="211" t="s">
        <v>108</v>
      </c>
      <c r="D14" s="212">
        <f>SUM(D10:D13)</f>
        <v>3625.7277134910501</v>
      </c>
      <c r="E14" s="213">
        <f>SUM(E10:E13)</f>
        <v>4812.4138938580409</v>
      </c>
      <c r="F14" s="214">
        <f>+E14/D14-1</f>
        <v>0.32729600073150111</v>
      </c>
      <c r="G14" s="350">
        <f>SUM(G10:G13)</f>
        <v>20967.26688034942</v>
      </c>
      <c r="H14" s="213">
        <f>SUM(H10:H13)</f>
        <v>23657.981415533279</v>
      </c>
      <c r="I14" s="214">
        <f>+H14/G14-1</f>
        <v>0.12832929301365481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7" t="s">
        <v>93</v>
      </c>
      <c r="D18" s="397"/>
      <c r="E18" s="397"/>
      <c r="F18" s="397"/>
      <c r="G18" s="398" t="s">
        <v>107</v>
      </c>
      <c r="H18" s="399"/>
      <c r="I18" s="399"/>
      <c r="J18" s="399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2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5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3" t="s">
        <v>13</v>
      </c>
      <c r="D54" s="395" t="s">
        <v>131</v>
      </c>
      <c r="E54" s="396"/>
      <c r="F54" s="396"/>
      <c r="G54" s="396"/>
      <c r="H54" s="396"/>
      <c r="I54" s="19"/>
      <c r="J54" s="19"/>
    </row>
    <row r="55" spans="3:13">
      <c r="C55" s="394"/>
      <c r="D55" s="114" t="s">
        <v>14</v>
      </c>
      <c r="E55" s="115" t="s">
        <v>15</v>
      </c>
      <c r="F55" s="115" t="s">
        <v>5</v>
      </c>
      <c r="G55" s="115" t="s">
        <v>16</v>
      </c>
      <c r="H55" s="115" t="s">
        <v>71</v>
      </c>
      <c r="I55" s="19"/>
      <c r="J55" s="19"/>
    </row>
    <row r="56" spans="3:13">
      <c r="C56" s="216" t="s">
        <v>10</v>
      </c>
      <c r="D56" s="343">
        <f>'Resumen (G)'!F14-'PorZona (G)'!D58</f>
        <v>91.456869377499942</v>
      </c>
      <c r="E56" s="220">
        <v>135.74374976257607</v>
      </c>
      <c r="F56" s="220">
        <v>0</v>
      </c>
      <c r="G56" s="220">
        <v>156.68797473677233</v>
      </c>
      <c r="H56" s="220">
        <f>SUM(D56:G56)</f>
        <v>383.88859387684835</v>
      </c>
      <c r="I56" s="338"/>
      <c r="K56" s="313"/>
      <c r="L56" s="326"/>
      <c r="M56" s="326"/>
    </row>
    <row r="57" spans="3:13">
      <c r="C57" s="217" t="s">
        <v>9</v>
      </c>
      <c r="D57" s="344">
        <v>0</v>
      </c>
      <c r="E57" s="221">
        <v>2223.8129076905648</v>
      </c>
      <c r="F57" s="345">
        <v>6.4619999999999999E-3</v>
      </c>
      <c r="G57" s="221">
        <v>1600.1240508155242</v>
      </c>
      <c r="H57" s="221">
        <f>SUM(D57:G57)</f>
        <v>3823.9434205060888</v>
      </c>
      <c r="I57" s="338"/>
      <c r="K57" s="313"/>
      <c r="L57" s="326"/>
      <c r="M57" s="326"/>
    </row>
    <row r="58" spans="3:13">
      <c r="C58" s="217" t="s">
        <v>12</v>
      </c>
      <c r="D58" s="344">
        <v>68.170209769999985</v>
      </c>
      <c r="E58" s="221">
        <v>352.92877575487125</v>
      </c>
      <c r="F58" s="221">
        <f>'Resumen (G)'!D15</f>
        <v>57.130521050000013</v>
      </c>
      <c r="G58" s="221">
        <v>93.742928150232956</v>
      </c>
      <c r="H58" s="221">
        <f>SUM(D58:G58)</f>
        <v>571.97243472510422</v>
      </c>
      <c r="I58" s="338"/>
      <c r="K58" s="313"/>
      <c r="L58" s="326"/>
      <c r="M58" s="326"/>
    </row>
    <row r="59" spans="3:13">
      <c r="C59" s="218" t="s">
        <v>11</v>
      </c>
      <c r="D59" s="346">
        <v>0</v>
      </c>
      <c r="E59" s="222">
        <v>0</v>
      </c>
      <c r="F59" s="222">
        <v>0</v>
      </c>
      <c r="G59" s="222">
        <f>E13</f>
        <v>32.609444750000002</v>
      </c>
      <c r="H59" s="222">
        <f>SUM(D59:G59)</f>
        <v>32.609444750000002</v>
      </c>
      <c r="I59" s="338"/>
      <c r="K59" s="19"/>
      <c r="L59" s="326"/>
      <c r="M59" s="326"/>
    </row>
    <row r="60" spans="3:13" ht="13.8" thickBot="1">
      <c r="C60" s="116" t="s">
        <v>108</v>
      </c>
      <c r="D60" s="223">
        <f>SUM(D56:D59)</f>
        <v>159.62707914749993</v>
      </c>
      <c r="E60" s="224">
        <f>SUM(E56:E59)</f>
        <v>2712.4854332080122</v>
      </c>
      <c r="F60" s="224">
        <f>SUM(F56:F59)</f>
        <v>57.136983050000012</v>
      </c>
      <c r="G60" s="224">
        <f>SUM(G56:G59)</f>
        <v>1883.1643984525294</v>
      </c>
      <c r="H60" s="224">
        <f>SUM(H56:H59)</f>
        <v>4812.4138938580409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41"/>
      <c r="H64" s="123"/>
    </row>
    <row r="65" spans="5:5">
      <c r="E65" s="123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="80" zoomScaleNormal="100" zoomScaleSheetLayoutView="80" workbookViewId="0">
      <selection activeCell="C6" sqref="C6:I3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9" t="s">
        <v>60</v>
      </c>
      <c r="D6" s="400" t="s">
        <v>126</v>
      </c>
      <c r="E6" s="401"/>
      <c r="F6" s="389" t="s">
        <v>74</v>
      </c>
      <c r="G6" s="391" t="s">
        <v>127</v>
      </c>
      <c r="H6" s="392"/>
      <c r="I6" s="389" t="s">
        <v>74</v>
      </c>
      <c r="O6" s="47"/>
      <c r="P6" s="86"/>
      <c r="Q6" s="402" t="s">
        <v>116</v>
      </c>
      <c r="R6" s="402"/>
    </row>
    <row r="7" spans="3:19" ht="12.75" customHeight="1">
      <c r="C7" s="110"/>
      <c r="D7" s="111">
        <v>2020</v>
      </c>
      <c r="E7" s="97">
        <v>2021</v>
      </c>
      <c r="F7" s="390"/>
      <c r="G7" s="242">
        <v>2020</v>
      </c>
      <c r="H7" s="97">
        <v>2021</v>
      </c>
      <c r="I7" s="390"/>
      <c r="N7" s="54"/>
      <c r="O7" s="323">
        <v>2020</v>
      </c>
      <c r="P7" s="325">
        <v>2021</v>
      </c>
      <c r="Q7" s="54">
        <v>2020</v>
      </c>
      <c r="R7" s="54">
        <v>2021</v>
      </c>
    </row>
    <row r="8" spans="3:19" ht="20.100000000000001" customHeight="1">
      <c r="C8" s="118" t="s">
        <v>17</v>
      </c>
      <c r="D8" s="361">
        <v>3.1555803858225917</v>
      </c>
      <c r="E8" s="360">
        <v>3.372869241424</v>
      </c>
      <c r="F8" s="226">
        <f>+E8/D8-1</f>
        <v>6.885860254983367E-2</v>
      </c>
      <c r="G8" s="359">
        <v>15.163961618494593</v>
      </c>
      <c r="H8" s="360">
        <v>16.864346207120001</v>
      </c>
      <c r="I8" s="226">
        <f>+H8/G8-1</f>
        <v>0.11213326908922983</v>
      </c>
      <c r="J8" s="26"/>
      <c r="K8" s="46"/>
      <c r="L8" s="46"/>
      <c r="N8" s="57" t="s">
        <v>10</v>
      </c>
      <c r="O8" s="71">
        <f>SUM(D8,D13,D20,D21,D27,D29,D31)</f>
        <v>283.94667972224738</v>
      </c>
      <c r="P8" s="71">
        <f t="shared" ref="P8" si="0">SUM(E8,E13,E20,E21,E27,E29,E31)</f>
        <v>383.88859387684835</v>
      </c>
      <c r="Q8" s="71">
        <f>SUM(G8,G13,G20,G21,G27,G29,G31)</f>
        <v>1452.0929468096049</v>
      </c>
      <c r="R8" s="71">
        <f>SUM(H8,H13,H20,H21,H27,H29,H31)</f>
        <v>1620.6176905757115</v>
      </c>
    </row>
    <row r="9" spans="3:19" ht="20.100000000000001" customHeight="1">
      <c r="C9" s="119" t="s">
        <v>18</v>
      </c>
      <c r="D9" s="225">
        <v>210.71335166617325</v>
      </c>
      <c r="E9" s="287">
        <v>199.67799341040808</v>
      </c>
      <c r="F9" s="227">
        <f t="shared" ref="F9:F32" si="1">+E9/D9-1</f>
        <v>-5.2371423872788814E-2</v>
      </c>
      <c r="G9" s="243">
        <v>1221.8413113570766</v>
      </c>
      <c r="H9" s="287">
        <v>1244.5336395995403</v>
      </c>
      <c r="I9" s="302">
        <f t="shared" ref="I9:I32" si="2">+H9/G9-1</f>
        <v>1.8572238499007465E-2</v>
      </c>
      <c r="J9" s="26"/>
      <c r="K9" s="46"/>
      <c r="L9" s="46"/>
      <c r="N9" s="57" t="s">
        <v>9</v>
      </c>
      <c r="O9" s="323">
        <f>SUM(D9,D14,D16,D17,D19,D22,D26,D32)</f>
        <v>2757.8320893994182</v>
      </c>
      <c r="P9" s="323">
        <f>SUM(E9,E14,E16,E17,E19,E22,E26,E32)</f>
        <v>3823.9434205060888</v>
      </c>
      <c r="Q9" s="323">
        <f>SUM(G9,G14,G16,G17,G19,G22,G26,G32)</f>
        <v>16333.185954014505</v>
      </c>
      <c r="R9" s="323">
        <f>SUM(H9,H14,H16,H17,H19,H22,H26,H32)</f>
        <v>18724.625594739529</v>
      </c>
    </row>
    <row r="10" spans="3:19" ht="20.100000000000001" customHeight="1">
      <c r="C10" s="120" t="s">
        <v>19</v>
      </c>
      <c r="D10" s="354">
        <v>4.6178184315575743</v>
      </c>
      <c r="E10" s="318">
        <v>4.5482690000000003</v>
      </c>
      <c r="F10" s="227">
        <f t="shared" si="1"/>
        <v>-1.5061101381180775E-2</v>
      </c>
      <c r="G10" s="243">
        <v>23.807967176444357</v>
      </c>
      <c r="H10" s="287">
        <v>22.741345000000003</v>
      </c>
      <c r="I10" s="227">
        <f t="shared" si="2"/>
        <v>-4.4801060440795348E-2</v>
      </c>
      <c r="J10" s="26"/>
      <c r="K10" s="46"/>
      <c r="L10" s="46"/>
      <c r="N10" s="54" t="s">
        <v>12</v>
      </c>
      <c r="O10" s="323">
        <f>SUM(D10,D11,D12,D15,D18,D24,D25,D28,D30)</f>
        <v>556.43548366146024</v>
      </c>
      <c r="P10" s="323">
        <f t="shared" ref="P10" si="3">SUM(E10,E11,E12,E15,E18,E24,E25,E28,E30)</f>
        <v>571.97243472510422</v>
      </c>
      <c r="Q10" s="323">
        <f>SUM(G10,G11,G12,G15,G18,G24,G25,G28,G30)</f>
        <v>2914.0705310105673</v>
      </c>
      <c r="R10" s="323">
        <f>SUM(H10,H11,H12,H15,H18,H24,H25,H28,H30)</f>
        <v>3148.8464144255208</v>
      </c>
    </row>
    <row r="11" spans="3:19" ht="20.100000000000001" customHeight="1">
      <c r="C11" s="119" t="s">
        <v>20</v>
      </c>
      <c r="D11" s="225">
        <v>91.839678656588234</v>
      </c>
      <c r="E11" s="287">
        <v>91.314830760937511</v>
      </c>
      <c r="F11" s="302">
        <f t="shared" si="1"/>
        <v>-5.7148272220470808E-3</v>
      </c>
      <c r="G11" s="243">
        <v>591.90635912821574</v>
      </c>
      <c r="H11" s="287">
        <v>536.75443084968742</v>
      </c>
      <c r="I11" s="227">
        <f t="shared" si="2"/>
        <v>-9.317677944828695E-2</v>
      </c>
      <c r="J11" s="26"/>
      <c r="K11" s="46"/>
      <c r="L11" s="46"/>
      <c r="N11" s="324" t="s">
        <v>11</v>
      </c>
      <c r="O11" s="71">
        <f>D23</f>
        <v>27.513460707924512</v>
      </c>
      <c r="P11" s="71">
        <f t="shared" ref="P11" si="4">E23</f>
        <v>32.609444750000002</v>
      </c>
      <c r="Q11" s="71">
        <f>G23</f>
        <v>267.91744851474579</v>
      </c>
      <c r="R11" s="71">
        <f>H23</f>
        <v>163.89171579251732</v>
      </c>
    </row>
    <row r="12" spans="3:19" ht="20.100000000000001" customHeight="1">
      <c r="C12" s="119" t="s">
        <v>21</v>
      </c>
      <c r="D12" s="354">
        <v>0.88576238414772956</v>
      </c>
      <c r="E12" s="318">
        <v>1.0064472500000001</v>
      </c>
      <c r="F12" s="227">
        <f t="shared" si="1"/>
        <v>0.13624970761023247</v>
      </c>
      <c r="G12" s="353">
        <v>4.6571296850735555</v>
      </c>
      <c r="H12" s="318">
        <v>5.0322362499999986</v>
      </c>
      <c r="I12" s="227">
        <f t="shared" si="2"/>
        <v>8.0544582241007134E-2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9" t="s">
        <v>22</v>
      </c>
      <c r="D13" s="225">
        <v>111.78802109775695</v>
      </c>
      <c r="E13" s="287">
        <v>135.37056703583792</v>
      </c>
      <c r="F13" s="227">
        <f t="shared" si="1"/>
        <v>0.21095771896219895</v>
      </c>
      <c r="G13" s="243">
        <v>591.01288124073221</v>
      </c>
      <c r="H13" s="287">
        <v>651.54511537918984</v>
      </c>
      <c r="I13" s="227">
        <f t="shared" si="2"/>
        <v>0.10242117567958986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9" t="s">
        <v>59</v>
      </c>
      <c r="D14" s="225">
        <v>5.8857274653107678</v>
      </c>
      <c r="E14" s="287">
        <v>305.37922340937502</v>
      </c>
      <c r="F14" s="227">
        <f t="shared" si="1"/>
        <v>50.884703328384731</v>
      </c>
      <c r="G14" s="243">
        <v>592.14974632655378</v>
      </c>
      <c r="H14" s="287">
        <v>921.86603034561801</v>
      </c>
      <c r="I14" s="227">
        <f t="shared" si="2"/>
        <v>0.55681233685310927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9" t="s">
        <v>23</v>
      </c>
      <c r="D15" s="225">
        <v>179.17453206666667</v>
      </c>
      <c r="E15" s="287">
        <v>198.22593345166672</v>
      </c>
      <c r="F15" s="227">
        <f t="shared" si="1"/>
        <v>0.10632873525748332</v>
      </c>
      <c r="G15" s="243">
        <v>820.75028333333319</v>
      </c>
      <c r="H15" s="287">
        <v>970.02230048833349</v>
      </c>
      <c r="I15" s="351">
        <f t="shared" si="2"/>
        <v>0.1818726355460496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9" t="s">
        <v>24</v>
      </c>
      <c r="D16" s="225">
        <v>921.59945895327985</v>
      </c>
      <c r="E16" s="287">
        <v>883.61941428859427</v>
      </c>
      <c r="F16" s="227">
        <f t="shared" si="1"/>
        <v>-4.121101015816786E-2</v>
      </c>
      <c r="G16" s="243">
        <v>4652.8131795564796</v>
      </c>
      <c r="H16" s="287">
        <v>4685.4350365054688</v>
      </c>
      <c r="I16" s="302">
        <f t="shared" si="2"/>
        <v>7.0112114306077888E-3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9" t="s">
        <v>25</v>
      </c>
      <c r="D17" s="225">
        <v>225.69689813333335</v>
      </c>
      <c r="E17" s="287">
        <v>173.39027622047823</v>
      </c>
      <c r="F17" s="227">
        <f t="shared" si="1"/>
        <v>-0.23175605134792021</v>
      </c>
      <c r="G17" s="243">
        <v>1439.9280236666664</v>
      </c>
      <c r="H17" s="287">
        <v>1436.2212184998914</v>
      </c>
      <c r="I17" s="302">
        <f t="shared" si="2"/>
        <v>-2.5742989273421779E-3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9" t="s">
        <v>26</v>
      </c>
      <c r="D18" s="225">
        <v>118.09462506666668</v>
      </c>
      <c r="E18" s="287">
        <v>104.30578270666668</v>
      </c>
      <c r="F18" s="227">
        <f t="shared" si="1"/>
        <v>-0.11676096479595022</v>
      </c>
      <c r="G18" s="243">
        <v>594.55581333333328</v>
      </c>
      <c r="H18" s="287">
        <v>662.35567625583337</v>
      </c>
      <c r="I18" s="227">
        <f t="shared" si="2"/>
        <v>0.11403447986217663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9" t="s">
        <v>27</v>
      </c>
      <c r="D19" s="225">
        <v>257.77653046666671</v>
      </c>
      <c r="E19" s="287">
        <v>275.60885148</v>
      </c>
      <c r="F19" s="227">
        <f t="shared" si="1"/>
        <v>6.9177442108676379E-2</v>
      </c>
      <c r="G19" s="243">
        <v>1495.0719273333336</v>
      </c>
      <c r="H19" s="287">
        <v>1510.7328410491668</v>
      </c>
      <c r="I19" s="302">
        <f t="shared" si="2"/>
        <v>1.0475023595531319E-2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9" t="s">
        <v>28</v>
      </c>
      <c r="D20" s="225">
        <v>63.661497072791924</v>
      </c>
      <c r="E20" s="287">
        <v>95.711502160515622</v>
      </c>
      <c r="F20" s="302">
        <f t="shared" si="1"/>
        <v>0.5034440998312848</v>
      </c>
      <c r="G20" s="243">
        <v>315.89944987380909</v>
      </c>
      <c r="H20" s="287">
        <v>324.94769403061389</v>
      </c>
      <c r="I20" s="227">
        <f t="shared" si="2"/>
        <v>2.8642798081539134E-2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9" t="s">
        <v>29</v>
      </c>
      <c r="D21" s="354">
        <v>4.6357592666666676</v>
      </c>
      <c r="E21" s="318">
        <v>5.0380536991666682</v>
      </c>
      <c r="F21" s="227">
        <f t="shared" si="1"/>
        <v>8.6780699634834368E-2</v>
      </c>
      <c r="G21" s="243">
        <v>25.327781333333341</v>
      </c>
      <c r="H21" s="287">
        <v>25.768112665833339</v>
      </c>
      <c r="I21" s="227">
        <f t="shared" si="2"/>
        <v>1.7385310095064943E-2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9" t="s">
        <v>30</v>
      </c>
      <c r="D22" s="225">
        <v>1047.0883613813212</v>
      </c>
      <c r="E22" s="287">
        <v>1899.4094425250005</v>
      </c>
      <c r="F22" s="227">
        <f t="shared" si="1"/>
        <v>0.8139915527466044</v>
      </c>
      <c r="G22" s="243">
        <v>6418.3657311077277</v>
      </c>
      <c r="H22" s="287">
        <v>8411.7321347167835</v>
      </c>
      <c r="I22" s="227">
        <f t="shared" si="2"/>
        <v>0.31057226825636608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9" t="s">
        <v>31</v>
      </c>
      <c r="D23" s="225">
        <v>27.513460707924512</v>
      </c>
      <c r="E23" s="287">
        <v>32.609444750000002</v>
      </c>
      <c r="F23" s="227">
        <f t="shared" si="1"/>
        <v>0.18521785013427006</v>
      </c>
      <c r="G23" s="243">
        <v>267.91744851474579</v>
      </c>
      <c r="H23" s="287">
        <v>163.89171579251732</v>
      </c>
      <c r="I23" s="227">
        <f t="shared" si="2"/>
        <v>-0.38827531875551979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9" t="s">
        <v>32</v>
      </c>
      <c r="D24" s="366">
        <v>0.142148</v>
      </c>
      <c r="E24" s="367">
        <v>0.10556797</v>
      </c>
      <c r="F24" s="227">
        <f t="shared" si="1"/>
        <v>-0.25733763401525167</v>
      </c>
      <c r="G24" s="353">
        <v>4.5588370000000005</v>
      </c>
      <c r="H24" s="318">
        <v>0.5861106425</v>
      </c>
      <c r="I24" s="302">
        <f t="shared" si="2"/>
        <v>-0.8714341744396652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9" t="s">
        <v>33</v>
      </c>
      <c r="D25" s="225">
        <v>51.694491333333339</v>
      </c>
      <c r="E25" s="287">
        <v>58.900826510833348</v>
      </c>
      <c r="F25" s="227">
        <f t="shared" si="1"/>
        <v>0.13940238102030156</v>
      </c>
      <c r="G25" s="243">
        <v>261.31955066666666</v>
      </c>
      <c r="H25" s="287">
        <v>300.51538764916677</v>
      </c>
      <c r="I25" s="227">
        <f t="shared" si="2"/>
        <v>0.14999198063254537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9" t="s">
        <v>34</v>
      </c>
      <c r="D26" s="225">
        <v>87.602646000000007</v>
      </c>
      <c r="E26" s="287">
        <v>68.144432774999999</v>
      </c>
      <c r="F26" s="227">
        <f t="shared" si="1"/>
        <v>-0.22211901253530641</v>
      </c>
      <c r="G26" s="243">
        <v>489.38110799999998</v>
      </c>
      <c r="H26" s="287">
        <v>457.15272908749995</v>
      </c>
      <c r="I26" s="227">
        <f t="shared" si="2"/>
        <v>-6.5855380164164479E-2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9" t="s">
        <v>35</v>
      </c>
      <c r="D27" s="225">
        <v>94.712724899209277</v>
      </c>
      <c r="E27" s="287">
        <v>138.70629648990405</v>
      </c>
      <c r="F27" s="227">
        <f t="shared" si="1"/>
        <v>0.46449483569933747</v>
      </c>
      <c r="G27" s="243">
        <v>473.96923974323585</v>
      </c>
      <c r="H27" s="287">
        <v>573.04589604295461</v>
      </c>
      <c r="I27" s="227">
        <f t="shared" si="2"/>
        <v>0.20903604705105283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9" t="s">
        <v>36</v>
      </c>
      <c r="D28" s="225">
        <v>96.498843722499998</v>
      </c>
      <c r="E28" s="287">
        <v>100.85035431249999</v>
      </c>
      <c r="F28" s="227">
        <f t="shared" si="1"/>
        <v>4.5093914311694183E-2</v>
      </c>
      <c r="G28" s="243">
        <v>548.00655068750007</v>
      </c>
      <c r="H28" s="287">
        <v>582.65037461999998</v>
      </c>
      <c r="I28" s="227">
        <f t="shared" si="2"/>
        <v>6.3217901116396469E-2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9" t="s">
        <v>37</v>
      </c>
      <c r="D29" s="225">
        <v>4.8925489999999998</v>
      </c>
      <c r="E29" s="318">
        <v>4.5887572500000005</v>
      </c>
      <c r="F29" s="227">
        <f t="shared" si="1"/>
        <v>-6.2092735300147139E-2</v>
      </c>
      <c r="G29" s="243">
        <v>25.216892999999999</v>
      </c>
      <c r="H29" s="287">
        <v>22.943786249999999</v>
      </c>
      <c r="I29" s="302">
        <f t="shared" si="2"/>
        <v>-9.0142221327583871E-2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9" t="s">
        <v>38</v>
      </c>
      <c r="D30" s="354">
        <v>13.487584</v>
      </c>
      <c r="E30" s="318">
        <v>12.714422762499995</v>
      </c>
      <c r="F30" s="227">
        <f t="shared" si="1"/>
        <v>-5.7323923802810484E-2</v>
      </c>
      <c r="G30" s="243">
        <v>64.508039999999994</v>
      </c>
      <c r="H30" s="287">
        <v>68.188552670000007</v>
      </c>
      <c r="I30" s="227">
        <f t="shared" si="2"/>
        <v>5.7055099953432276E-2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9" t="s">
        <v>39</v>
      </c>
      <c r="D31" s="354">
        <v>1.1005480000000003</v>
      </c>
      <c r="E31" s="318">
        <v>1.1005480000000003</v>
      </c>
      <c r="F31" s="302">
        <f>+E31/D31-1</f>
        <v>0</v>
      </c>
      <c r="G31" s="243">
        <v>5.502740000000002</v>
      </c>
      <c r="H31" s="287">
        <v>5.502740000000002</v>
      </c>
      <c r="I31" s="227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1" t="s">
        <v>40</v>
      </c>
      <c r="D32" s="219">
        <v>1.4691153333333333</v>
      </c>
      <c r="E32" s="288">
        <v>18.713786397232631</v>
      </c>
      <c r="F32" s="228">
        <f t="shared" si="1"/>
        <v>11.738132924371696</v>
      </c>
      <c r="G32" s="244">
        <v>23.634926666666662</v>
      </c>
      <c r="H32" s="288">
        <v>56.951964935565961</v>
      </c>
      <c r="I32" s="228">
        <f t="shared" si="2"/>
        <v>1.4096527033395763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6" t="s">
        <v>108</v>
      </c>
      <c r="D33" s="112">
        <f>SUM(D8:D32)</f>
        <v>3625.7277134910505</v>
      </c>
      <c r="E33" s="289">
        <f>SUM(E8:E32)</f>
        <v>4812.4138938580409</v>
      </c>
      <c r="F33" s="117">
        <f>+E33/D33-1</f>
        <v>0.32729600073150111</v>
      </c>
      <c r="G33" s="245">
        <f>SUM(G8:G32)</f>
        <v>20967.266880349423</v>
      </c>
      <c r="H33" s="289">
        <f>SUM(H8:H32)</f>
        <v>23657.981415533279</v>
      </c>
      <c r="I33" s="246">
        <f>+H33/G33-1</f>
        <v>0.12832929301365459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5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1899.4094425250005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883.61941428859427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305.37922340937502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275.60885148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199.67799341040808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198.22593345166672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25</v>
      </c>
      <c r="O50" s="52">
        <v>173.39027622047823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35</v>
      </c>
      <c r="O51" s="53">
        <v>138.70629648990405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22</v>
      </c>
      <c r="O52" s="53">
        <v>135.37056703583792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104.30578270666668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36</v>
      </c>
      <c r="O54" s="53">
        <v>100.85035431249999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28</v>
      </c>
      <c r="O55" s="52">
        <v>95.711502160515622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20</v>
      </c>
      <c r="O56" s="53">
        <v>91.314830760937511</v>
      </c>
      <c r="P56" s="8"/>
      <c r="S56" s="91"/>
    </row>
    <row r="57" spans="3:19">
      <c r="N57" s="51" t="s">
        <v>34</v>
      </c>
      <c r="O57" s="52">
        <v>68.144432774999999</v>
      </c>
      <c r="S57" s="91"/>
    </row>
    <row r="58" spans="3:19">
      <c r="N58" s="51" t="s">
        <v>33</v>
      </c>
      <c r="O58" s="52">
        <v>58.900826510833348</v>
      </c>
      <c r="S58" s="122"/>
    </row>
    <row r="59" spans="3:19">
      <c r="N59" s="51" t="s">
        <v>31</v>
      </c>
      <c r="O59" s="52">
        <v>32.609444750000002</v>
      </c>
      <c r="S59" s="91"/>
    </row>
    <row r="60" spans="3:19">
      <c r="N60" s="51" t="s">
        <v>40</v>
      </c>
      <c r="O60" s="52">
        <v>18.713786397232631</v>
      </c>
      <c r="S60" s="91"/>
    </row>
    <row r="61" spans="3:19">
      <c r="N61" s="51" t="s">
        <v>38</v>
      </c>
      <c r="O61" s="52">
        <v>12.714422762499995</v>
      </c>
      <c r="S61" s="91"/>
    </row>
    <row r="62" spans="3:19">
      <c r="N62" s="51" t="s">
        <v>29</v>
      </c>
      <c r="O62" s="52">
        <v>5.0380536991666682</v>
      </c>
      <c r="S62" s="91"/>
    </row>
    <row r="63" spans="3:19">
      <c r="N63" s="50" t="s">
        <v>37</v>
      </c>
      <c r="O63" s="53">
        <v>4.5887572500000005</v>
      </c>
      <c r="S63" s="91"/>
    </row>
    <row r="64" spans="3:19">
      <c r="N64" s="50" t="s">
        <v>19</v>
      </c>
      <c r="O64" s="53">
        <v>4.5482690000000003</v>
      </c>
      <c r="S64" s="91"/>
    </row>
    <row r="65" spans="6:19">
      <c r="N65" s="50" t="s">
        <v>17</v>
      </c>
      <c r="O65" s="53">
        <v>3.372869241424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1.0064472500000001</v>
      </c>
      <c r="S67" s="91"/>
    </row>
    <row r="68" spans="6:19">
      <c r="N68" s="9" t="s">
        <v>32</v>
      </c>
      <c r="O68" s="52">
        <v>0.10556797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2021-06-21T05:42:26Z</dcterms:modified>
</cp:coreProperties>
</file>